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filterPrivacy="1" showInkAnnotation="0" codeName="ThisWorkbook"/>
  <xr:revisionPtr revIDLastSave="0" documentId="8_{AE857007-D39B-4184-BCE0-D234409C4B8E}" xr6:coauthVersionLast="47" xr6:coauthVersionMax="47" xr10:uidLastSave="{00000000-0000-0000-0000-000000000000}"/>
  <bookViews>
    <workbookView xWindow="30240" yWindow="1440" windowWidth="21600" windowHeight="11325" tabRatio="678" activeTab="3" xr2:uid="{00000000-000D-0000-FFFF-FFFF00000000}"/>
  </bookViews>
  <sheets>
    <sheet name="Cover" sheetId="196" r:id="rId1"/>
    <sheet name="Model formatting" sheetId="199" r:id="rId2"/>
    <sheet name="ToC" sheetId="200" r:id="rId3"/>
    <sheet name="Inputs" sheetId="188" r:id="rId4"/>
    <sheet name="Time" sheetId="186" r:id="rId5"/>
    <sheet name="Indices and K factor" sheetId="187" r:id="rId6"/>
    <sheet name="Wholesale Water" sheetId="119" r:id="rId7"/>
    <sheet name="Wastewater Network-Plus" sheetId="189" r:id="rId8"/>
    <sheet name="Wastewater TTT" sheetId="201" r:id="rId9"/>
    <sheet name="F_Outputs" sheetId="190" r:id="rId10"/>
    <sheet name="Check" sheetId="193" r:id="rId1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Inputs!$F$154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Inputs!$F$156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 i="188" l="1"/>
  <c r="F20" i="201" s="1"/>
  <c r="F123" i="188"/>
  <c r="F105" i="188"/>
  <c r="F85" i="188"/>
  <c r="G30" i="193"/>
  <c r="E30" i="193"/>
  <c r="G15" i="193"/>
  <c r="E15" i="193"/>
  <c r="I15" i="190"/>
  <c r="G15" i="190"/>
  <c r="F15" i="190"/>
  <c r="E15" i="190"/>
  <c r="W68" i="187"/>
  <c r="V68" i="187"/>
  <c r="U68" i="187"/>
  <c r="T68" i="187"/>
  <c r="S68" i="187"/>
  <c r="R68" i="187"/>
  <c r="Q68" i="187"/>
  <c r="P68" i="187"/>
  <c r="O68" i="187"/>
  <c r="N68" i="187"/>
  <c r="M68" i="187"/>
  <c r="L68" i="187"/>
  <c r="K68" i="187"/>
  <c r="J68" i="187"/>
  <c r="I68" i="187"/>
  <c r="G68" i="187"/>
  <c r="F68" i="187"/>
  <c r="E68" i="187"/>
  <c r="I12" i="201"/>
  <c r="H12" i="201"/>
  <c r="G12" i="201"/>
  <c r="F12" i="201"/>
  <c r="E12" i="201"/>
  <c r="I71" i="187"/>
  <c r="H71" i="187"/>
  <c r="G71" i="187"/>
  <c r="F71" i="187"/>
  <c r="E71" i="187"/>
  <c r="I73" i="187"/>
  <c r="G73" i="187"/>
  <c r="F73" i="187"/>
  <c r="E73" i="187"/>
  <c r="I72" i="187"/>
  <c r="H72" i="187"/>
  <c r="G72" i="187"/>
  <c r="F72" i="187"/>
  <c r="E72" i="187"/>
  <c r="W67" i="187"/>
  <c r="V67" i="187"/>
  <c r="U67" i="187"/>
  <c r="T67" i="187"/>
  <c r="S67" i="187"/>
  <c r="R67" i="187"/>
  <c r="Q67" i="187"/>
  <c r="P67" i="187"/>
  <c r="O67" i="187"/>
  <c r="N67" i="187"/>
  <c r="M67" i="187"/>
  <c r="L67" i="187"/>
  <c r="K67" i="187"/>
  <c r="J67" i="187"/>
  <c r="I67" i="187"/>
  <c r="H67" i="187"/>
  <c r="G67" i="187"/>
  <c r="F67" i="187"/>
  <c r="E67" i="187"/>
  <c r="W43" i="201"/>
  <c r="V43" i="201"/>
  <c r="U43" i="201"/>
  <c r="T43" i="201"/>
  <c r="S43" i="201"/>
  <c r="R43" i="201"/>
  <c r="Q43" i="201"/>
  <c r="P43" i="201"/>
  <c r="O43" i="201"/>
  <c r="N43" i="201"/>
  <c r="M43" i="201"/>
  <c r="L43" i="201"/>
  <c r="K43" i="201"/>
  <c r="J43" i="201"/>
  <c r="I43" i="201"/>
  <c r="G43" i="201"/>
  <c r="F43" i="201"/>
  <c r="E43" i="201"/>
  <c r="W21" i="201"/>
  <c r="V21" i="201"/>
  <c r="U21" i="201"/>
  <c r="T21" i="201"/>
  <c r="S21" i="201"/>
  <c r="R21" i="201"/>
  <c r="Q21" i="201"/>
  <c r="P21" i="201"/>
  <c r="O21" i="201"/>
  <c r="N21" i="201"/>
  <c r="M21" i="201"/>
  <c r="L21" i="201"/>
  <c r="K21" i="201"/>
  <c r="J21" i="201"/>
  <c r="I21" i="201"/>
  <c r="G21" i="201"/>
  <c r="F21" i="201"/>
  <c r="E21" i="201"/>
  <c r="W20" i="201"/>
  <c r="V20" i="201"/>
  <c r="U20" i="201"/>
  <c r="T20" i="201"/>
  <c r="S20" i="201"/>
  <c r="R20" i="201"/>
  <c r="Q20" i="201"/>
  <c r="P20" i="201"/>
  <c r="O20" i="201"/>
  <c r="N20" i="201"/>
  <c r="M20" i="201"/>
  <c r="L20" i="201"/>
  <c r="K20" i="201"/>
  <c r="J20" i="201"/>
  <c r="I20" i="201"/>
  <c r="H20" i="201"/>
  <c r="G20" i="201"/>
  <c r="E20" i="201"/>
  <c r="W11" i="201"/>
  <c r="V11" i="201"/>
  <c r="U11" i="201"/>
  <c r="T11" i="201"/>
  <c r="S11" i="201"/>
  <c r="R11" i="201"/>
  <c r="Q11" i="201"/>
  <c r="P11" i="201"/>
  <c r="O11" i="201"/>
  <c r="N11" i="201"/>
  <c r="M11" i="201"/>
  <c r="L11" i="201"/>
  <c r="K11" i="201"/>
  <c r="J11" i="201"/>
  <c r="I11" i="201"/>
  <c r="H11" i="201"/>
  <c r="G11" i="201"/>
  <c r="F11" i="201"/>
  <c r="E11" i="201"/>
  <c r="H143" i="188"/>
  <c r="F145" i="188" s="1"/>
  <c r="F15" i="193" s="1"/>
  <c r="H137" i="188"/>
  <c r="H43" i="201" s="1"/>
  <c r="H135" i="188"/>
  <c r="H68" i="187" s="1"/>
  <c r="I140" i="201"/>
  <c r="G140" i="201"/>
  <c r="F140" i="201"/>
  <c r="E140" i="201"/>
  <c r="I139" i="201"/>
  <c r="G139" i="201"/>
  <c r="F139" i="201"/>
  <c r="E139" i="201"/>
  <c r="I134" i="201"/>
  <c r="G134" i="201"/>
  <c r="F134" i="201"/>
  <c r="E134" i="201"/>
  <c r="I133" i="201"/>
  <c r="G133" i="201"/>
  <c r="F133" i="201"/>
  <c r="E133" i="201"/>
  <c r="I132" i="201"/>
  <c r="G132" i="201"/>
  <c r="F132" i="201"/>
  <c r="E132" i="201"/>
  <c r="I127" i="201"/>
  <c r="G127" i="201"/>
  <c r="F127" i="201"/>
  <c r="E127" i="201"/>
  <c r="I126" i="201"/>
  <c r="G126" i="201"/>
  <c r="F126" i="201"/>
  <c r="E126" i="201"/>
  <c r="I123" i="201"/>
  <c r="G123" i="201"/>
  <c r="F123" i="201"/>
  <c r="E123" i="201"/>
  <c r="I122" i="201"/>
  <c r="G122" i="201"/>
  <c r="F122" i="201"/>
  <c r="E122" i="201"/>
  <c r="I121" i="201"/>
  <c r="H121" i="201"/>
  <c r="G121" i="201"/>
  <c r="F121" i="201"/>
  <c r="E121" i="201"/>
  <c r="W120" i="201"/>
  <c r="V120" i="201"/>
  <c r="U120" i="201"/>
  <c r="T120" i="201"/>
  <c r="S120" i="201"/>
  <c r="R120" i="201"/>
  <c r="Q120" i="201"/>
  <c r="P120" i="201"/>
  <c r="O120" i="201"/>
  <c r="N120" i="201"/>
  <c r="M120" i="201"/>
  <c r="L120" i="201"/>
  <c r="K120" i="201"/>
  <c r="J120" i="201"/>
  <c r="I120" i="201"/>
  <c r="H120" i="201"/>
  <c r="G120" i="201"/>
  <c r="F120" i="201"/>
  <c r="E120" i="201"/>
  <c r="I117" i="201"/>
  <c r="G117" i="201"/>
  <c r="F117" i="201"/>
  <c r="E117" i="201"/>
  <c r="I116" i="201"/>
  <c r="G116" i="201"/>
  <c r="F116" i="201"/>
  <c r="E116" i="201"/>
  <c r="I115" i="201"/>
  <c r="H115" i="201"/>
  <c r="G115" i="201"/>
  <c r="F115" i="201"/>
  <c r="E115" i="201"/>
  <c r="W114" i="201"/>
  <c r="V114" i="201"/>
  <c r="U114" i="201"/>
  <c r="T114" i="201"/>
  <c r="S114" i="201"/>
  <c r="R114" i="201"/>
  <c r="Q114" i="201"/>
  <c r="P114" i="201"/>
  <c r="O114" i="201"/>
  <c r="N114" i="201"/>
  <c r="M114" i="201"/>
  <c r="L114" i="201"/>
  <c r="K114" i="201"/>
  <c r="J114" i="201"/>
  <c r="I114" i="201"/>
  <c r="H114" i="201"/>
  <c r="G114" i="201"/>
  <c r="F114" i="201"/>
  <c r="E114" i="201"/>
  <c r="I107" i="201"/>
  <c r="G107" i="201"/>
  <c r="F107" i="201"/>
  <c r="E107" i="201"/>
  <c r="W106" i="201"/>
  <c r="V106" i="201"/>
  <c r="I106" i="201"/>
  <c r="G106" i="201"/>
  <c r="F106" i="201"/>
  <c r="E106" i="201"/>
  <c r="W105" i="201"/>
  <c r="V105" i="201"/>
  <c r="I105" i="201"/>
  <c r="G105" i="201"/>
  <c r="F105" i="201"/>
  <c r="E105" i="201"/>
  <c r="I100" i="201"/>
  <c r="H100" i="201"/>
  <c r="G100" i="201"/>
  <c r="F100" i="201"/>
  <c r="E100" i="201"/>
  <c r="W99" i="201"/>
  <c r="V99" i="201"/>
  <c r="U99" i="201"/>
  <c r="T99" i="201"/>
  <c r="S99" i="201"/>
  <c r="R99" i="201"/>
  <c r="Q99" i="201"/>
  <c r="P99" i="201"/>
  <c r="O99" i="201"/>
  <c r="N99" i="201"/>
  <c r="M99" i="201"/>
  <c r="L99" i="201"/>
  <c r="K99" i="201"/>
  <c r="J99" i="201"/>
  <c r="I99" i="201"/>
  <c r="H99" i="201"/>
  <c r="G99" i="201"/>
  <c r="F99" i="201"/>
  <c r="E99" i="201"/>
  <c r="I94" i="201"/>
  <c r="G94" i="201"/>
  <c r="F94" i="201"/>
  <c r="E94" i="201"/>
  <c r="I93" i="201"/>
  <c r="G93" i="201"/>
  <c r="F93" i="201"/>
  <c r="E93" i="201"/>
  <c r="I92" i="201"/>
  <c r="H92" i="201"/>
  <c r="G92" i="201"/>
  <c r="F92" i="201"/>
  <c r="E92" i="201"/>
  <c r="I89" i="201"/>
  <c r="G89" i="201"/>
  <c r="F89" i="201"/>
  <c r="E89" i="201"/>
  <c r="W88" i="201"/>
  <c r="V88" i="201"/>
  <c r="U88" i="201"/>
  <c r="T88" i="201"/>
  <c r="S88" i="201"/>
  <c r="R88" i="201"/>
  <c r="Q88" i="201"/>
  <c r="P88" i="201"/>
  <c r="O88" i="201"/>
  <c r="N88" i="201"/>
  <c r="M88" i="201"/>
  <c r="L88" i="201"/>
  <c r="K88" i="201"/>
  <c r="J88" i="201"/>
  <c r="I88" i="201"/>
  <c r="H88" i="201"/>
  <c r="G88" i="201"/>
  <c r="F88" i="201"/>
  <c r="E88" i="201"/>
  <c r="I85" i="201"/>
  <c r="G85" i="201"/>
  <c r="F85" i="201"/>
  <c r="E85" i="201"/>
  <c r="I82" i="201"/>
  <c r="G82" i="201"/>
  <c r="F82" i="201"/>
  <c r="E82" i="201"/>
  <c r="I81" i="201"/>
  <c r="H81" i="201"/>
  <c r="G81" i="201"/>
  <c r="F81" i="201"/>
  <c r="E81" i="201"/>
  <c r="I80" i="201"/>
  <c r="G80" i="201"/>
  <c r="F80" i="201"/>
  <c r="E80" i="201"/>
  <c r="I77" i="201"/>
  <c r="H77" i="201"/>
  <c r="G77" i="201"/>
  <c r="F77" i="201"/>
  <c r="E77" i="201"/>
  <c r="W76" i="201"/>
  <c r="V76" i="201"/>
  <c r="U76" i="201"/>
  <c r="T76" i="201"/>
  <c r="S76" i="201"/>
  <c r="R76" i="201"/>
  <c r="Q76" i="201"/>
  <c r="P76" i="201"/>
  <c r="O76" i="201"/>
  <c r="N76" i="201"/>
  <c r="M76" i="201"/>
  <c r="L76" i="201"/>
  <c r="K76" i="201"/>
  <c r="J76" i="201"/>
  <c r="I76" i="201"/>
  <c r="H76" i="201"/>
  <c r="G76" i="201"/>
  <c r="F76" i="201"/>
  <c r="E76" i="201"/>
  <c r="I73" i="201"/>
  <c r="H73" i="201"/>
  <c r="G73" i="201"/>
  <c r="F73" i="201"/>
  <c r="E73" i="201"/>
  <c r="I72" i="201"/>
  <c r="H72" i="201"/>
  <c r="G72" i="201"/>
  <c r="F72" i="201"/>
  <c r="E72" i="201"/>
  <c r="W71" i="201"/>
  <c r="V71" i="201"/>
  <c r="U71" i="201"/>
  <c r="T71" i="201"/>
  <c r="S71" i="201"/>
  <c r="R71" i="201"/>
  <c r="Q71" i="201"/>
  <c r="P71" i="201"/>
  <c r="O71" i="201"/>
  <c r="N71" i="201"/>
  <c r="M71" i="201"/>
  <c r="L71" i="201"/>
  <c r="K71" i="201"/>
  <c r="J71" i="201"/>
  <c r="I71" i="201"/>
  <c r="H71" i="201"/>
  <c r="G71" i="201"/>
  <c r="F71" i="201"/>
  <c r="E71" i="201"/>
  <c r="W70" i="201"/>
  <c r="V70" i="201"/>
  <c r="U70" i="201"/>
  <c r="T70" i="201"/>
  <c r="S70" i="201"/>
  <c r="R70" i="201"/>
  <c r="Q70" i="201"/>
  <c r="P70" i="201"/>
  <c r="O70" i="201"/>
  <c r="N70" i="201"/>
  <c r="M70" i="201"/>
  <c r="L70" i="201"/>
  <c r="K70" i="201"/>
  <c r="J70" i="201"/>
  <c r="I70" i="201"/>
  <c r="H70" i="201"/>
  <c r="G70" i="201"/>
  <c r="F70" i="201"/>
  <c r="E70" i="201"/>
  <c r="I67" i="201"/>
  <c r="H67" i="201"/>
  <c r="G67" i="201"/>
  <c r="F67" i="201"/>
  <c r="E67" i="201"/>
  <c r="W66" i="201"/>
  <c r="V66" i="201"/>
  <c r="U66" i="201"/>
  <c r="T66" i="201"/>
  <c r="S66" i="201"/>
  <c r="R66" i="201"/>
  <c r="Q66" i="201"/>
  <c r="P66" i="201"/>
  <c r="O66" i="201"/>
  <c r="N66" i="201"/>
  <c r="M66" i="201"/>
  <c r="L66" i="201"/>
  <c r="K66" i="201"/>
  <c r="J66" i="201"/>
  <c r="I66" i="201"/>
  <c r="H66" i="201"/>
  <c r="G66" i="201"/>
  <c r="F66" i="201"/>
  <c r="E66" i="201"/>
  <c r="I63" i="201"/>
  <c r="G63" i="201"/>
  <c r="F63" i="201"/>
  <c r="E63" i="201"/>
  <c r="I62" i="201"/>
  <c r="G62" i="201"/>
  <c r="F62" i="201"/>
  <c r="E62" i="201"/>
  <c r="I55" i="201"/>
  <c r="G55" i="201"/>
  <c r="F55" i="201"/>
  <c r="E55" i="201"/>
  <c r="I54" i="201"/>
  <c r="H54" i="201"/>
  <c r="G54" i="201"/>
  <c r="F54" i="201"/>
  <c r="E54" i="201"/>
  <c r="I51" i="201"/>
  <c r="H51" i="201"/>
  <c r="G51" i="201"/>
  <c r="F51" i="201"/>
  <c r="E51" i="201"/>
  <c r="I50" i="201"/>
  <c r="G50" i="201"/>
  <c r="F50" i="201"/>
  <c r="E50" i="201"/>
  <c r="W49" i="201"/>
  <c r="V49" i="201"/>
  <c r="U49" i="201"/>
  <c r="T49" i="201"/>
  <c r="S49" i="201"/>
  <c r="R49" i="201"/>
  <c r="Q49" i="201"/>
  <c r="P49" i="201"/>
  <c r="O49" i="201"/>
  <c r="N49" i="201"/>
  <c r="M49" i="201"/>
  <c r="L49" i="201"/>
  <c r="K49" i="201"/>
  <c r="J49" i="201"/>
  <c r="I49" i="201"/>
  <c r="H49" i="201"/>
  <c r="G49" i="201"/>
  <c r="F49" i="201"/>
  <c r="E49" i="201"/>
  <c r="W48" i="201"/>
  <c r="V48" i="201"/>
  <c r="U48" i="201"/>
  <c r="T48" i="201"/>
  <c r="S48" i="201"/>
  <c r="R48" i="201"/>
  <c r="Q48" i="201"/>
  <c r="P48" i="201"/>
  <c r="O48" i="201"/>
  <c r="N48" i="201"/>
  <c r="M48" i="201"/>
  <c r="L48" i="201"/>
  <c r="K48" i="201"/>
  <c r="J48" i="201"/>
  <c r="I48" i="201"/>
  <c r="H48" i="201"/>
  <c r="G48" i="201"/>
  <c r="F48" i="201"/>
  <c r="E48" i="201"/>
  <c r="I42" i="201"/>
  <c r="G42" i="201"/>
  <c r="F42" i="201"/>
  <c r="E42" i="201"/>
  <c r="J39" i="201"/>
  <c r="I39" i="201"/>
  <c r="G39" i="201"/>
  <c r="F39" i="201"/>
  <c r="E39" i="201"/>
  <c r="I38" i="201"/>
  <c r="G38" i="201"/>
  <c r="F38" i="201"/>
  <c r="E38" i="201"/>
  <c r="I37" i="201"/>
  <c r="G37" i="201"/>
  <c r="F37" i="201"/>
  <c r="E37" i="201"/>
  <c r="I30" i="201"/>
  <c r="G30" i="201"/>
  <c r="F30" i="201"/>
  <c r="E30" i="201"/>
  <c r="I29" i="201"/>
  <c r="H29" i="201"/>
  <c r="G29" i="201"/>
  <c r="F29" i="201"/>
  <c r="E29" i="201"/>
  <c r="I26" i="201"/>
  <c r="H26" i="201"/>
  <c r="G26" i="201"/>
  <c r="F26" i="201"/>
  <c r="E26" i="201"/>
  <c r="I25" i="201"/>
  <c r="G25" i="201"/>
  <c r="F25" i="201"/>
  <c r="E25" i="201"/>
  <c r="W24" i="201"/>
  <c r="V24" i="201"/>
  <c r="U24" i="201"/>
  <c r="T24" i="201"/>
  <c r="S24" i="201"/>
  <c r="R24" i="201"/>
  <c r="Q24" i="201"/>
  <c r="P24" i="201"/>
  <c r="O24" i="201"/>
  <c r="N24" i="201"/>
  <c r="M24" i="201"/>
  <c r="L24" i="201"/>
  <c r="K24" i="201"/>
  <c r="J24" i="201"/>
  <c r="I24" i="201"/>
  <c r="H24" i="201"/>
  <c r="G24" i="201"/>
  <c r="F24" i="201"/>
  <c r="E24" i="201"/>
  <c r="I13" i="201"/>
  <c r="G13" i="201"/>
  <c r="F13" i="201"/>
  <c r="E13" i="201"/>
  <c r="E5" i="201"/>
  <c r="E4" i="201"/>
  <c r="G3" i="201"/>
  <c r="E3" i="201"/>
  <c r="G2" i="201"/>
  <c r="E2" i="201"/>
  <c r="A1" i="201"/>
  <c r="K20" i="200" s="1"/>
  <c r="F31" i="196"/>
  <c r="F107" i="189"/>
  <c r="G107" i="189"/>
  <c r="I107" i="189"/>
  <c r="E107" i="189"/>
  <c r="F94" i="189"/>
  <c r="G94" i="189"/>
  <c r="I94" i="189"/>
  <c r="E94" i="189"/>
  <c r="F209" i="119"/>
  <c r="G209" i="119"/>
  <c r="I209" i="119"/>
  <c r="E209" i="119"/>
  <c r="F202" i="119"/>
  <c r="G202" i="119"/>
  <c r="I202" i="119"/>
  <c r="E202" i="119"/>
  <c r="F184" i="119"/>
  <c r="G184" i="119"/>
  <c r="I184" i="119"/>
  <c r="E184" i="119"/>
  <c r="F32" i="196" s="1"/>
  <c r="F171" i="119"/>
  <c r="G171" i="119"/>
  <c r="I171" i="119"/>
  <c r="E171" i="119"/>
  <c r="O22" i="201" l="1"/>
  <c r="O25" i="201" s="1"/>
  <c r="P22" i="201"/>
  <c r="P25" i="201" s="1"/>
  <c r="W22" i="201"/>
  <c r="W25" i="201" s="1"/>
  <c r="V69" i="187"/>
  <c r="V71" i="187" s="1"/>
  <c r="H21" i="201"/>
  <c r="W69" i="187"/>
  <c r="W71" i="187" s="1"/>
  <c r="P69" i="187"/>
  <c r="P71" i="187" s="1"/>
  <c r="O69" i="187"/>
  <c r="O71" i="187" s="1"/>
  <c r="Q69" i="187"/>
  <c r="Q71" i="187" s="1"/>
  <c r="J69" i="187"/>
  <c r="J71" i="187" s="1"/>
  <c r="R69" i="187"/>
  <c r="R71" i="187" s="1"/>
  <c r="K69" i="187"/>
  <c r="K71" i="187" s="1"/>
  <c r="S69" i="187"/>
  <c r="S71" i="187" s="1"/>
  <c r="L69" i="187"/>
  <c r="L71" i="187" s="1"/>
  <c r="T69" i="187"/>
  <c r="T71" i="187" s="1"/>
  <c r="M69" i="187"/>
  <c r="M71" i="187" s="1"/>
  <c r="U69" i="187"/>
  <c r="U71" i="187" s="1"/>
  <c r="N69" i="187"/>
  <c r="N71" i="187" s="1"/>
  <c r="U22" i="201"/>
  <c r="U25" i="201" s="1"/>
  <c r="M22" i="201"/>
  <c r="M25" i="201" s="1"/>
  <c r="N22" i="201"/>
  <c r="N25" i="201" s="1"/>
  <c r="V22" i="201"/>
  <c r="V25" i="201" s="1"/>
  <c r="Q22" i="201"/>
  <c r="Q25" i="201" s="1"/>
  <c r="J22" i="201"/>
  <c r="J25" i="201" s="1"/>
  <c r="R22" i="201"/>
  <c r="R25" i="201" s="1"/>
  <c r="T22" i="201"/>
  <c r="T25" i="201" s="1"/>
  <c r="K22" i="201"/>
  <c r="K25" i="201" s="1"/>
  <c r="S22" i="201"/>
  <c r="S25" i="201" s="1"/>
  <c r="L22" i="201"/>
  <c r="L25" i="201" s="1"/>
  <c r="F113" i="119"/>
  <c r="G113" i="119"/>
  <c r="I113" i="119"/>
  <c r="E113" i="119"/>
  <c r="F30" i="196" s="1"/>
  <c r="F101" i="119"/>
  <c r="G101" i="119"/>
  <c r="I101" i="119"/>
  <c r="E101" i="119"/>
  <c r="F29" i="196" s="1"/>
  <c r="F28" i="196"/>
  <c r="F27" i="196"/>
  <c r="F26" i="196"/>
  <c r="A1" i="200"/>
  <c r="S11" i="200" s="1"/>
  <c r="A1" i="199"/>
  <c r="S8" i="200" s="1"/>
  <c r="H22" i="201" l="1"/>
  <c r="H25" i="201" s="1"/>
  <c r="F25" i="196"/>
  <c r="A1" i="196" l="1"/>
  <c r="C8" i="200" s="1"/>
  <c r="I217" i="119" l="1"/>
  <c r="H217" i="119"/>
  <c r="G217" i="119"/>
  <c r="F217" i="119"/>
  <c r="E217" i="119"/>
  <c r="I32" i="119"/>
  <c r="H32" i="119"/>
  <c r="G32" i="119"/>
  <c r="F32" i="119"/>
  <c r="E32" i="119"/>
  <c r="W25" i="187"/>
  <c r="V25" i="187"/>
  <c r="U25" i="187"/>
  <c r="T25" i="187"/>
  <c r="S25" i="187"/>
  <c r="R25" i="187"/>
  <c r="Q25" i="187"/>
  <c r="P25" i="187"/>
  <c r="O25" i="187"/>
  <c r="N25" i="187"/>
  <c r="M25" i="187"/>
  <c r="L25" i="187"/>
  <c r="K25" i="187"/>
  <c r="J25" i="187"/>
  <c r="I25" i="187"/>
  <c r="H25" i="187"/>
  <c r="G25" i="187"/>
  <c r="E25" i="187"/>
  <c r="I27" i="187"/>
  <c r="G27" i="187"/>
  <c r="F27" i="187"/>
  <c r="E27" i="187"/>
  <c r="J26" i="187"/>
  <c r="I26" i="187"/>
  <c r="H26" i="187"/>
  <c r="G26" i="187"/>
  <c r="F26" i="187"/>
  <c r="E26" i="187"/>
  <c r="I9" i="190" l="1"/>
  <c r="G9" i="190"/>
  <c r="F9" i="190"/>
  <c r="E9" i="190"/>
  <c r="I132" i="189"/>
  <c r="G132" i="189"/>
  <c r="F132" i="189"/>
  <c r="E132" i="189"/>
  <c r="I276" i="119"/>
  <c r="H276" i="119"/>
  <c r="G276" i="119"/>
  <c r="F276" i="119"/>
  <c r="E276" i="119"/>
  <c r="W223" i="119"/>
  <c r="V223" i="119"/>
  <c r="U223" i="119"/>
  <c r="T223" i="119"/>
  <c r="S223" i="119"/>
  <c r="R223" i="119"/>
  <c r="Q223" i="119"/>
  <c r="P223" i="119"/>
  <c r="O223" i="119"/>
  <c r="N223" i="119"/>
  <c r="M223" i="119"/>
  <c r="L223" i="119"/>
  <c r="K223" i="119"/>
  <c r="J223" i="119"/>
  <c r="I223" i="119"/>
  <c r="H223" i="119"/>
  <c r="G223" i="119"/>
  <c r="F223" i="119"/>
  <c r="E223" i="119"/>
  <c r="I268" i="119"/>
  <c r="G268" i="119"/>
  <c r="F268" i="119"/>
  <c r="E268" i="119"/>
  <c r="I127" i="189" l="1"/>
  <c r="G127" i="189"/>
  <c r="F127" i="189"/>
  <c r="E127" i="189"/>
  <c r="I126" i="189"/>
  <c r="G126" i="189"/>
  <c r="F126" i="189"/>
  <c r="E126" i="189"/>
  <c r="I123" i="189"/>
  <c r="G123" i="189"/>
  <c r="F123" i="189"/>
  <c r="E123" i="189"/>
  <c r="I122" i="189"/>
  <c r="G122" i="189"/>
  <c r="F122" i="189"/>
  <c r="E122" i="189"/>
  <c r="I121" i="189"/>
  <c r="H121" i="189"/>
  <c r="G121" i="189"/>
  <c r="F121" i="189"/>
  <c r="E121" i="189"/>
  <c r="W120" i="189"/>
  <c r="V120" i="189"/>
  <c r="U120" i="189"/>
  <c r="T120" i="189"/>
  <c r="S120" i="189"/>
  <c r="R120" i="189"/>
  <c r="Q120" i="189"/>
  <c r="P120" i="189"/>
  <c r="O120" i="189"/>
  <c r="N120" i="189"/>
  <c r="M120" i="189"/>
  <c r="L120" i="189"/>
  <c r="K120" i="189"/>
  <c r="J120" i="189"/>
  <c r="I120" i="189"/>
  <c r="H120" i="189"/>
  <c r="G120" i="189"/>
  <c r="F120" i="189"/>
  <c r="E120" i="189"/>
  <c r="I116" i="189"/>
  <c r="G116" i="189"/>
  <c r="F116" i="189"/>
  <c r="E116" i="189"/>
  <c r="I283" i="119"/>
  <c r="G283" i="119"/>
  <c r="F283" i="119"/>
  <c r="E283" i="119"/>
  <c r="I286" i="119"/>
  <c r="G286" i="119"/>
  <c r="F286" i="119"/>
  <c r="E286" i="119"/>
  <c r="I262" i="119"/>
  <c r="G262" i="119"/>
  <c r="F262" i="119"/>
  <c r="E262" i="119"/>
  <c r="I261" i="119"/>
  <c r="G261" i="119"/>
  <c r="F261" i="119"/>
  <c r="E261" i="119"/>
  <c r="I258" i="119"/>
  <c r="G258" i="119"/>
  <c r="F258" i="119"/>
  <c r="E258" i="119"/>
  <c r="I257" i="119"/>
  <c r="H257" i="119"/>
  <c r="G257" i="119"/>
  <c r="F257" i="119"/>
  <c r="E257" i="119"/>
  <c r="I256" i="119"/>
  <c r="H256" i="119"/>
  <c r="G256" i="119"/>
  <c r="F256" i="119"/>
  <c r="E256" i="119"/>
  <c r="W255" i="119"/>
  <c r="V255" i="119"/>
  <c r="U255" i="119"/>
  <c r="T255" i="119"/>
  <c r="S255" i="119"/>
  <c r="R255" i="119"/>
  <c r="Q255" i="119"/>
  <c r="P255" i="119"/>
  <c r="O255" i="119"/>
  <c r="N255" i="119"/>
  <c r="M255" i="119"/>
  <c r="L255" i="119"/>
  <c r="K255" i="119"/>
  <c r="J255" i="119"/>
  <c r="I255" i="119"/>
  <c r="H255" i="119"/>
  <c r="G255" i="119"/>
  <c r="F255" i="119"/>
  <c r="E255" i="119"/>
  <c r="I245" i="119"/>
  <c r="H245" i="119"/>
  <c r="G245" i="119"/>
  <c r="F245" i="119"/>
  <c r="E245" i="119"/>
  <c r="I244" i="119"/>
  <c r="G244" i="119"/>
  <c r="F244" i="119"/>
  <c r="E244" i="119"/>
  <c r="I239" i="119"/>
  <c r="G239" i="119"/>
  <c r="F239" i="119"/>
  <c r="E239" i="119"/>
  <c r="I238" i="119"/>
  <c r="G238" i="119"/>
  <c r="F238" i="119"/>
  <c r="E238" i="119"/>
  <c r="I235" i="119"/>
  <c r="G235" i="119"/>
  <c r="F235" i="119"/>
  <c r="E235" i="119"/>
  <c r="I233" i="119"/>
  <c r="H233" i="119"/>
  <c r="G233" i="119"/>
  <c r="F233" i="119"/>
  <c r="E233" i="119"/>
  <c r="W232" i="119"/>
  <c r="V232" i="119"/>
  <c r="U232" i="119"/>
  <c r="T232" i="119"/>
  <c r="S232" i="119"/>
  <c r="R232" i="119"/>
  <c r="Q232" i="119"/>
  <c r="P232" i="119"/>
  <c r="O232" i="119"/>
  <c r="N232" i="119"/>
  <c r="M232" i="119"/>
  <c r="L232" i="119"/>
  <c r="K232" i="119"/>
  <c r="J232" i="119"/>
  <c r="I232" i="119"/>
  <c r="H232" i="119"/>
  <c r="G232" i="119"/>
  <c r="F232" i="119"/>
  <c r="E232" i="119"/>
  <c r="I234" i="119"/>
  <c r="G234" i="119"/>
  <c r="F234" i="119"/>
  <c r="E234" i="119"/>
  <c r="I222" i="119"/>
  <c r="G222" i="119"/>
  <c r="F222" i="119"/>
  <c r="E222" i="119"/>
  <c r="I193" i="119"/>
  <c r="H193" i="119"/>
  <c r="G193" i="119"/>
  <c r="F193" i="119"/>
  <c r="E193" i="119"/>
  <c r="W192" i="119"/>
  <c r="V192" i="119"/>
  <c r="I192" i="119"/>
  <c r="G192" i="119"/>
  <c r="F192" i="119"/>
  <c r="E192" i="119"/>
  <c r="W189" i="119"/>
  <c r="V189" i="119"/>
  <c r="U189" i="119"/>
  <c r="T189" i="119"/>
  <c r="S189" i="119"/>
  <c r="R189" i="119"/>
  <c r="Q189" i="119"/>
  <c r="P189" i="119"/>
  <c r="O189" i="119"/>
  <c r="N189" i="119"/>
  <c r="M189" i="119"/>
  <c r="L189" i="119"/>
  <c r="K189" i="119"/>
  <c r="J189" i="119"/>
  <c r="I189" i="119"/>
  <c r="H189" i="119"/>
  <c r="G189" i="119"/>
  <c r="F189" i="119"/>
  <c r="E189" i="119"/>
  <c r="W185" i="119"/>
  <c r="V185" i="119"/>
  <c r="U185" i="119"/>
  <c r="T185" i="119"/>
  <c r="S185" i="119"/>
  <c r="R185" i="119"/>
  <c r="Q185" i="119"/>
  <c r="P185" i="119"/>
  <c r="O185" i="119"/>
  <c r="N185" i="119"/>
  <c r="M185" i="119"/>
  <c r="L185" i="119"/>
  <c r="K185" i="119"/>
  <c r="J185" i="119"/>
  <c r="I185" i="119"/>
  <c r="H185" i="119"/>
  <c r="G185" i="119"/>
  <c r="F185" i="119"/>
  <c r="E185" i="119"/>
  <c r="I85" i="189" l="1"/>
  <c r="G85" i="189"/>
  <c r="F85" i="189"/>
  <c r="E85" i="189"/>
  <c r="I162" i="119"/>
  <c r="G162" i="119"/>
  <c r="F162" i="119"/>
  <c r="E162" i="119"/>
  <c r="W82" i="119" l="1"/>
  <c r="V82" i="119"/>
  <c r="U82" i="119"/>
  <c r="T82" i="119"/>
  <c r="S82" i="119"/>
  <c r="R82" i="119"/>
  <c r="Q82" i="119"/>
  <c r="P82" i="119"/>
  <c r="O82" i="119"/>
  <c r="N82" i="119"/>
  <c r="M82" i="119"/>
  <c r="L82" i="119"/>
  <c r="K82" i="119"/>
  <c r="J82" i="119"/>
  <c r="I82" i="119"/>
  <c r="G82" i="119"/>
  <c r="F82" i="119"/>
  <c r="E82" i="119"/>
  <c r="I30" i="189" l="1"/>
  <c r="G30" i="189"/>
  <c r="F30" i="189"/>
  <c r="E30" i="189"/>
  <c r="I29" i="189"/>
  <c r="H29" i="189"/>
  <c r="G29" i="189"/>
  <c r="F29" i="189"/>
  <c r="E29" i="189"/>
  <c r="I25" i="189"/>
  <c r="G25" i="189"/>
  <c r="F25" i="189"/>
  <c r="E25" i="189"/>
  <c r="W21" i="189"/>
  <c r="V21" i="189"/>
  <c r="U21" i="189"/>
  <c r="T21" i="189"/>
  <c r="S21" i="189"/>
  <c r="R21" i="189"/>
  <c r="Q21" i="189"/>
  <c r="P21" i="189"/>
  <c r="O21" i="189"/>
  <c r="N21" i="189"/>
  <c r="M21" i="189"/>
  <c r="L21" i="189"/>
  <c r="K21" i="189"/>
  <c r="J21" i="189"/>
  <c r="I21" i="189"/>
  <c r="G21" i="189"/>
  <c r="F21" i="189"/>
  <c r="E21" i="189"/>
  <c r="I51" i="189"/>
  <c r="H51" i="189"/>
  <c r="G51" i="189"/>
  <c r="F51" i="189"/>
  <c r="E51" i="189"/>
  <c r="I207" i="119"/>
  <c r="G207" i="119"/>
  <c r="F207" i="119"/>
  <c r="E207" i="119"/>
  <c r="I49" i="119"/>
  <c r="G49" i="119"/>
  <c r="F49" i="119"/>
  <c r="E49" i="119"/>
  <c r="W45" i="119"/>
  <c r="V45" i="119"/>
  <c r="U45" i="119"/>
  <c r="T45" i="119"/>
  <c r="S45" i="119"/>
  <c r="R45" i="119"/>
  <c r="Q45" i="119"/>
  <c r="P45" i="119"/>
  <c r="O45" i="119"/>
  <c r="N45" i="119"/>
  <c r="M45" i="119"/>
  <c r="L45" i="119"/>
  <c r="K45" i="119"/>
  <c r="J45" i="119"/>
  <c r="I45" i="119"/>
  <c r="G45" i="119"/>
  <c r="F45" i="119"/>
  <c r="E45" i="119"/>
  <c r="K39" i="188" l="1"/>
  <c r="L39" i="188" s="1"/>
  <c r="M39" i="188" s="1"/>
  <c r="N39" i="188" s="1"/>
  <c r="O39" i="188" s="1"/>
  <c r="P39" i="188" s="1"/>
  <c r="Q39" i="188" s="1"/>
  <c r="R39" i="188" s="1"/>
  <c r="S39" i="188" s="1"/>
  <c r="T39" i="188" s="1"/>
  <c r="U39" i="188" s="1"/>
  <c r="V39" i="188" s="1"/>
  <c r="W39" i="188" s="1"/>
  <c r="J39" i="188"/>
  <c r="A1" i="193"/>
  <c r="W8" i="200" s="1"/>
  <c r="A1" i="190"/>
  <c r="O8" i="200" s="1"/>
  <c r="A1" i="189"/>
  <c r="K17" i="200" s="1"/>
  <c r="A1" i="119"/>
  <c r="K14" i="200" s="1"/>
  <c r="A1" i="187"/>
  <c r="K11" i="200" s="1"/>
  <c r="A1" i="186"/>
  <c r="K8" i="200" s="1"/>
  <c r="A1" i="188"/>
  <c r="G8" i="200" s="1"/>
  <c r="I275" i="119" l="1"/>
  <c r="G275" i="119"/>
  <c r="F275" i="119"/>
  <c r="E275" i="119"/>
  <c r="I21" i="187"/>
  <c r="G21" i="187"/>
  <c r="F21" i="187"/>
  <c r="E21" i="187"/>
  <c r="I251" i="119"/>
  <c r="G251" i="119"/>
  <c r="F251" i="119"/>
  <c r="E251" i="119"/>
  <c r="W216" i="119"/>
  <c r="V216" i="119"/>
  <c r="U216" i="119"/>
  <c r="T216" i="119"/>
  <c r="S216" i="119"/>
  <c r="R216" i="119"/>
  <c r="Q216" i="119"/>
  <c r="P216" i="119"/>
  <c r="O216" i="119"/>
  <c r="N216" i="119"/>
  <c r="M216" i="119"/>
  <c r="L216" i="119"/>
  <c r="K216" i="119"/>
  <c r="J216" i="119"/>
  <c r="I216" i="119"/>
  <c r="G216" i="119"/>
  <c r="F216" i="119"/>
  <c r="E216" i="119"/>
  <c r="W28" i="119"/>
  <c r="V28" i="119"/>
  <c r="U28" i="119"/>
  <c r="T28" i="119"/>
  <c r="S28" i="119"/>
  <c r="R28" i="119"/>
  <c r="Q28" i="119"/>
  <c r="P28" i="119"/>
  <c r="O28" i="119"/>
  <c r="N28" i="119"/>
  <c r="M28" i="119"/>
  <c r="L28" i="119"/>
  <c r="K28" i="119"/>
  <c r="J28" i="119"/>
  <c r="I28" i="119"/>
  <c r="G28" i="119"/>
  <c r="F28" i="119"/>
  <c r="E28" i="119"/>
  <c r="I82" i="189" l="1"/>
  <c r="G82" i="189"/>
  <c r="F82" i="189"/>
  <c r="E82" i="189"/>
  <c r="I80" i="189"/>
  <c r="G80" i="189"/>
  <c r="F80" i="189"/>
  <c r="E80" i="189"/>
  <c r="I63" i="189"/>
  <c r="G63" i="189"/>
  <c r="F63" i="189"/>
  <c r="E63" i="189"/>
  <c r="I62" i="189"/>
  <c r="G62" i="189"/>
  <c r="F62" i="189"/>
  <c r="E62" i="189"/>
  <c r="I13" i="189"/>
  <c r="G13" i="189"/>
  <c r="F13" i="189"/>
  <c r="E13" i="189"/>
  <c r="I157" i="119"/>
  <c r="G157" i="119"/>
  <c r="F157" i="119"/>
  <c r="E157" i="119"/>
  <c r="I139" i="119"/>
  <c r="G139" i="119"/>
  <c r="F139" i="119"/>
  <c r="E139" i="119"/>
  <c r="I89" i="119"/>
  <c r="G89" i="119"/>
  <c r="F89" i="119"/>
  <c r="E89" i="119"/>
  <c r="I88" i="119"/>
  <c r="G88" i="119"/>
  <c r="F88" i="119"/>
  <c r="E88" i="119"/>
  <c r="I69" i="119"/>
  <c r="G69" i="119"/>
  <c r="F69" i="119"/>
  <c r="E69" i="119"/>
  <c r="J20" i="187"/>
  <c r="I20" i="187"/>
  <c r="G20" i="187"/>
  <c r="F20" i="187"/>
  <c r="E20" i="187"/>
  <c r="I64" i="119"/>
  <c r="G64" i="119"/>
  <c r="F64" i="119"/>
  <c r="E64" i="119"/>
  <c r="W60" i="119"/>
  <c r="V60" i="119"/>
  <c r="U60" i="119"/>
  <c r="T60" i="119"/>
  <c r="S60" i="119"/>
  <c r="R60" i="119"/>
  <c r="Q60" i="119"/>
  <c r="P60" i="119"/>
  <c r="O60" i="119"/>
  <c r="N60" i="119"/>
  <c r="M60" i="119"/>
  <c r="L60" i="119"/>
  <c r="K60" i="119"/>
  <c r="J60" i="119"/>
  <c r="I60" i="119"/>
  <c r="G60" i="119"/>
  <c r="F60" i="119"/>
  <c r="E60" i="119"/>
  <c r="W59" i="119"/>
  <c r="V59" i="119"/>
  <c r="U59" i="119"/>
  <c r="T59" i="119"/>
  <c r="S59" i="119"/>
  <c r="R59" i="119"/>
  <c r="Q59" i="119"/>
  <c r="P59" i="119"/>
  <c r="O59" i="119"/>
  <c r="N59" i="119"/>
  <c r="M59" i="119"/>
  <c r="L59" i="119"/>
  <c r="K59" i="119"/>
  <c r="J59" i="119"/>
  <c r="I59" i="119"/>
  <c r="H59" i="119"/>
  <c r="G59" i="119"/>
  <c r="F59" i="119"/>
  <c r="E59" i="119"/>
  <c r="I36" i="119"/>
  <c r="G36" i="119"/>
  <c r="F36" i="119"/>
  <c r="E36" i="119"/>
  <c r="I31" i="119"/>
  <c r="G31" i="119"/>
  <c r="F31" i="119"/>
  <c r="E31" i="119"/>
  <c r="I20" i="119"/>
  <c r="G20" i="119"/>
  <c r="F20" i="119"/>
  <c r="E20" i="119"/>
  <c r="I13" i="119"/>
  <c r="G13" i="119"/>
  <c r="F13" i="119"/>
  <c r="E13" i="119"/>
  <c r="M61" i="119" l="1"/>
  <c r="M64" i="119" s="1"/>
  <c r="J61" i="119"/>
  <c r="J64" i="119" s="1"/>
  <c r="K61" i="119"/>
  <c r="K64" i="119" s="1"/>
  <c r="L61" i="119"/>
  <c r="L64" i="119" s="1"/>
  <c r="N61" i="119"/>
  <c r="N64" i="119" s="1"/>
  <c r="O61" i="119"/>
  <c r="O64" i="119" s="1"/>
  <c r="P61" i="119"/>
  <c r="P64" i="119" s="1"/>
  <c r="R61" i="119"/>
  <c r="R64" i="119" s="1"/>
  <c r="S61" i="119"/>
  <c r="S64" i="119" s="1"/>
  <c r="T61" i="119"/>
  <c r="T64" i="119" s="1"/>
  <c r="V61" i="119"/>
  <c r="V64" i="119" s="1"/>
  <c r="W61" i="119"/>
  <c r="W64" i="119" s="1"/>
  <c r="L41" i="188"/>
  <c r="K41" i="188"/>
  <c r="U61" i="119"/>
  <c r="U64" i="119" s="1"/>
  <c r="Q61" i="119"/>
  <c r="Q64" i="119" s="1"/>
  <c r="P26" i="119"/>
  <c r="K20" i="187" l="1"/>
  <c r="K26" i="187"/>
  <c r="L20" i="187"/>
  <c r="L26" i="187"/>
  <c r="M41" i="188"/>
  <c r="H61" i="119"/>
  <c r="H64" i="119" s="1"/>
  <c r="H87" i="188"/>
  <c r="H60" i="119" s="1"/>
  <c r="I68" i="119"/>
  <c r="H68" i="119"/>
  <c r="G68" i="119"/>
  <c r="F68" i="119"/>
  <c r="E68" i="119"/>
  <c r="I65" i="119"/>
  <c r="H65" i="119"/>
  <c r="G65" i="119"/>
  <c r="F65" i="119"/>
  <c r="E65" i="119"/>
  <c r="W63" i="119"/>
  <c r="V63" i="119"/>
  <c r="U63" i="119"/>
  <c r="T63" i="119"/>
  <c r="S63" i="119"/>
  <c r="R63" i="119"/>
  <c r="Q63" i="119"/>
  <c r="P63" i="119"/>
  <c r="O63" i="119"/>
  <c r="N63" i="119"/>
  <c r="M63" i="119"/>
  <c r="L63" i="119"/>
  <c r="K63" i="119"/>
  <c r="J63" i="119"/>
  <c r="I63" i="119"/>
  <c r="H63" i="119"/>
  <c r="G63" i="119"/>
  <c r="F63" i="119"/>
  <c r="E63" i="119"/>
  <c r="M20" i="187" l="1"/>
  <c r="M26" i="187"/>
  <c r="F43" i="188"/>
  <c r="F25" i="187" s="1"/>
  <c r="N41" i="188"/>
  <c r="F89" i="188"/>
  <c r="I37" i="119"/>
  <c r="H37" i="119"/>
  <c r="G37" i="119"/>
  <c r="F37" i="119"/>
  <c r="E37" i="119"/>
  <c r="W35" i="119"/>
  <c r="V35" i="119"/>
  <c r="U35" i="119"/>
  <c r="T35" i="119"/>
  <c r="S35" i="119"/>
  <c r="R35" i="119"/>
  <c r="Q35" i="119"/>
  <c r="P35" i="119"/>
  <c r="O35" i="119"/>
  <c r="N35" i="119"/>
  <c r="M35" i="119"/>
  <c r="L35" i="119"/>
  <c r="K35" i="119"/>
  <c r="J35" i="119"/>
  <c r="I35" i="119"/>
  <c r="H35" i="119"/>
  <c r="G35" i="119"/>
  <c r="F35" i="119"/>
  <c r="E35" i="119"/>
  <c r="I27" i="119"/>
  <c r="H27" i="119"/>
  <c r="G27" i="119"/>
  <c r="F27" i="119"/>
  <c r="E27" i="119"/>
  <c r="W26" i="119"/>
  <c r="V26" i="119"/>
  <c r="U26" i="119"/>
  <c r="T26" i="119"/>
  <c r="S26" i="119"/>
  <c r="R26" i="119"/>
  <c r="Q26" i="119"/>
  <c r="O26" i="119"/>
  <c r="N26" i="119"/>
  <c r="M26" i="119"/>
  <c r="L26" i="119"/>
  <c r="K26" i="119"/>
  <c r="J26" i="119"/>
  <c r="I26" i="119"/>
  <c r="H26" i="119"/>
  <c r="G26" i="119"/>
  <c r="F26" i="119"/>
  <c r="E26" i="119"/>
  <c r="W25" i="119"/>
  <c r="V25" i="119"/>
  <c r="U25" i="119"/>
  <c r="T25" i="119"/>
  <c r="S25" i="119"/>
  <c r="R25" i="119"/>
  <c r="Q25" i="119"/>
  <c r="P25" i="119"/>
  <c r="O25" i="119"/>
  <c r="N25" i="119"/>
  <c r="M25" i="119"/>
  <c r="L25" i="119"/>
  <c r="K25" i="119"/>
  <c r="J25" i="119"/>
  <c r="I25" i="119"/>
  <c r="H25" i="119"/>
  <c r="G25" i="119"/>
  <c r="F25" i="119"/>
  <c r="E25" i="119"/>
  <c r="N20" i="187" l="1"/>
  <c r="N26" i="187"/>
  <c r="O41" i="188"/>
  <c r="H77" i="188"/>
  <c r="O20" i="187" l="1"/>
  <c r="O26" i="187"/>
  <c r="H216" i="119"/>
  <c r="H28" i="119"/>
  <c r="P41" i="188"/>
  <c r="P20" i="187" l="1"/>
  <c r="P26" i="187"/>
  <c r="Q41" i="188"/>
  <c r="O11" i="189"/>
  <c r="E67" i="189"/>
  <c r="I140" i="119"/>
  <c r="G140" i="119"/>
  <c r="F140" i="119"/>
  <c r="E140" i="119"/>
  <c r="F38" i="186"/>
  <c r="J10" i="186"/>
  <c r="F17" i="186"/>
  <c r="F23" i="186"/>
  <c r="I55" i="186"/>
  <c r="J14" i="187"/>
  <c r="F18" i="186"/>
  <c r="W72" i="186"/>
  <c r="W15" i="187" s="1"/>
  <c r="J10" i="187"/>
  <c r="F20" i="189"/>
  <c r="F24" i="189"/>
  <c r="I62" i="186"/>
  <c r="J39" i="189"/>
  <c r="F29" i="186"/>
  <c r="F44" i="186"/>
  <c r="F45" i="186"/>
  <c r="O44" i="119"/>
  <c r="K18" i="119"/>
  <c r="F37" i="187"/>
  <c r="J38" i="187"/>
  <c r="I10" i="187"/>
  <c r="J11" i="187" s="1"/>
  <c r="K38" i="187"/>
  <c r="I14" i="187"/>
  <c r="G14" i="187"/>
  <c r="F14" i="187"/>
  <c r="E14" i="187"/>
  <c r="G10" i="187"/>
  <c r="F10" i="187"/>
  <c r="E10" i="187"/>
  <c r="I267" i="119"/>
  <c r="G267" i="119"/>
  <c r="F267" i="119"/>
  <c r="E267" i="119"/>
  <c r="I131" i="119"/>
  <c r="G131" i="119"/>
  <c r="F131" i="119"/>
  <c r="E131" i="119"/>
  <c r="I125" i="119"/>
  <c r="G125" i="119"/>
  <c r="F125" i="119"/>
  <c r="E125" i="119"/>
  <c r="I81" i="119"/>
  <c r="G81" i="119"/>
  <c r="F81" i="119"/>
  <c r="E81" i="119"/>
  <c r="E228" i="119"/>
  <c r="F228" i="119"/>
  <c r="G228" i="119"/>
  <c r="I228" i="119"/>
  <c r="I274" i="119"/>
  <c r="G274" i="119"/>
  <c r="F274" i="119"/>
  <c r="E274" i="119"/>
  <c r="I11" i="190"/>
  <c r="G11" i="190"/>
  <c r="F11" i="190"/>
  <c r="E11" i="190"/>
  <c r="I287" i="119"/>
  <c r="G287" i="119"/>
  <c r="F287" i="119"/>
  <c r="E287" i="119"/>
  <c r="I277" i="119"/>
  <c r="G277" i="119"/>
  <c r="F277" i="119"/>
  <c r="E277" i="119"/>
  <c r="E282" i="119"/>
  <c r="F282" i="119"/>
  <c r="G282" i="119"/>
  <c r="I282" i="119"/>
  <c r="I250" i="119"/>
  <c r="G250" i="119"/>
  <c r="F250" i="119"/>
  <c r="E250" i="119"/>
  <c r="I252" i="119"/>
  <c r="G252" i="119"/>
  <c r="F252" i="119"/>
  <c r="E252" i="119"/>
  <c r="I249" i="119"/>
  <c r="H249" i="119"/>
  <c r="G249" i="119"/>
  <c r="F249" i="119"/>
  <c r="E249" i="119"/>
  <c r="W248" i="119"/>
  <c r="V248" i="119"/>
  <c r="U248" i="119"/>
  <c r="T248" i="119"/>
  <c r="S248" i="119"/>
  <c r="R248" i="119"/>
  <c r="Q248" i="119"/>
  <c r="P248" i="119"/>
  <c r="O248" i="119"/>
  <c r="N248" i="119"/>
  <c r="M248" i="119"/>
  <c r="L248" i="119"/>
  <c r="K248" i="119"/>
  <c r="J248" i="119"/>
  <c r="I248" i="119"/>
  <c r="H248" i="119"/>
  <c r="G248" i="119"/>
  <c r="F248" i="119"/>
  <c r="E248" i="119"/>
  <c r="J90" i="119"/>
  <c r="I90" i="119"/>
  <c r="G90" i="119"/>
  <c r="F90" i="119"/>
  <c r="E90" i="119"/>
  <c r="J78" i="119"/>
  <c r="I78" i="119"/>
  <c r="G78" i="119"/>
  <c r="F78" i="119"/>
  <c r="E78" i="119"/>
  <c r="I208" i="119"/>
  <c r="G208" i="119"/>
  <c r="F208" i="119"/>
  <c r="E208" i="119"/>
  <c r="I201" i="119"/>
  <c r="G201" i="119"/>
  <c r="F201" i="119"/>
  <c r="E201" i="119"/>
  <c r="F159" i="119"/>
  <c r="I61" i="186"/>
  <c r="G61" i="186"/>
  <c r="F61" i="186"/>
  <c r="E61" i="186"/>
  <c r="I200" i="119"/>
  <c r="G200" i="119"/>
  <c r="F200" i="119"/>
  <c r="E200" i="119"/>
  <c r="W188" i="119"/>
  <c r="W190" i="119" s="1"/>
  <c r="V188" i="119"/>
  <c r="V190" i="119" s="1"/>
  <c r="I188" i="119"/>
  <c r="G188" i="119"/>
  <c r="F188" i="119"/>
  <c r="E188" i="119"/>
  <c r="I132" i="119"/>
  <c r="G132" i="119"/>
  <c r="F132" i="119"/>
  <c r="E132" i="119"/>
  <c r="I126" i="119"/>
  <c r="G126" i="119"/>
  <c r="F126" i="119"/>
  <c r="E126" i="119"/>
  <c r="I93" i="119"/>
  <c r="G93" i="119"/>
  <c r="F93" i="119"/>
  <c r="E93" i="119"/>
  <c r="I118" i="119"/>
  <c r="G118" i="119"/>
  <c r="F118" i="119"/>
  <c r="E118" i="119"/>
  <c r="I117" i="119"/>
  <c r="H117" i="119"/>
  <c r="G117" i="119"/>
  <c r="F117" i="119"/>
  <c r="E117" i="119"/>
  <c r="I114" i="119"/>
  <c r="H114" i="119"/>
  <c r="G114" i="119"/>
  <c r="F114" i="119"/>
  <c r="E114" i="119"/>
  <c r="W112" i="119"/>
  <c r="V112" i="119"/>
  <c r="U112" i="119"/>
  <c r="T112" i="119"/>
  <c r="S112" i="119"/>
  <c r="R112" i="119"/>
  <c r="Q112" i="119"/>
  <c r="P112" i="119"/>
  <c r="O112" i="119"/>
  <c r="N112" i="119"/>
  <c r="M112" i="119"/>
  <c r="L112" i="119"/>
  <c r="K112" i="119"/>
  <c r="J112" i="119"/>
  <c r="I112" i="119"/>
  <c r="H112" i="119"/>
  <c r="G112" i="119"/>
  <c r="F112" i="119"/>
  <c r="E112" i="119"/>
  <c r="W111" i="119"/>
  <c r="V111" i="119"/>
  <c r="U111" i="119"/>
  <c r="T111" i="119"/>
  <c r="S111" i="119"/>
  <c r="R111" i="119"/>
  <c r="Q111" i="119"/>
  <c r="P111" i="119"/>
  <c r="O111" i="119"/>
  <c r="N111" i="119"/>
  <c r="M111" i="119"/>
  <c r="L111" i="119"/>
  <c r="K111" i="119"/>
  <c r="J111" i="119"/>
  <c r="I111" i="119"/>
  <c r="H111" i="119"/>
  <c r="G111" i="119"/>
  <c r="F111" i="119"/>
  <c r="E111" i="119"/>
  <c r="W94" i="119"/>
  <c r="V94" i="119"/>
  <c r="U94" i="119"/>
  <c r="T94" i="119"/>
  <c r="S94" i="119"/>
  <c r="R94" i="119"/>
  <c r="Q94" i="119"/>
  <c r="P94" i="119"/>
  <c r="O94" i="119"/>
  <c r="N94" i="119"/>
  <c r="M94" i="119"/>
  <c r="L94" i="119"/>
  <c r="K94" i="119"/>
  <c r="J94" i="119"/>
  <c r="I94" i="119"/>
  <c r="G94" i="119"/>
  <c r="F94" i="119"/>
  <c r="E94" i="119"/>
  <c r="I87" i="119"/>
  <c r="G87" i="119"/>
  <c r="F87" i="119"/>
  <c r="E87" i="119"/>
  <c r="H107" i="188"/>
  <c r="H45" i="119" s="1"/>
  <c r="I84" i="186"/>
  <c r="F43" i="189"/>
  <c r="F37" i="189"/>
  <c r="W100" i="119"/>
  <c r="V100" i="119"/>
  <c r="U100" i="119"/>
  <c r="T100" i="119"/>
  <c r="S100" i="119"/>
  <c r="R100" i="119"/>
  <c r="Q100" i="119"/>
  <c r="P100" i="119"/>
  <c r="O100" i="119"/>
  <c r="N100" i="119"/>
  <c r="M100" i="119"/>
  <c r="L100" i="119"/>
  <c r="K100" i="119"/>
  <c r="J100" i="119"/>
  <c r="I100" i="119"/>
  <c r="H100" i="119"/>
  <c r="G100" i="119"/>
  <c r="F100" i="119"/>
  <c r="I43" i="187"/>
  <c r="W114" i="189"/>
  <c r="V114" i="189"/>
  <c r="U114" i="189"/>
  <c r="T114" i="189"/>
  <c r="S114" i="189"/>
  <c r="R114" i="189"/>
  <c r="Q114" i="189"/>
  <c r="P114" i="189"/>
  <c r="O114" i="189"/>
  <c r="N114" i="189"/>
  <c r="M114" i="189"/>
  <c r="L114" i="189"/>
  <c r="K114" i="189"/>
  <c r="J114" i="189"/>
  <c r="I114" i="189"/>
  <c r="H114" i="189"/>
  <c r="W99" i="189"/>
  <c r="V99" i="189"/>
  <c r="U99" i="189"/>
  <c r="T99" i="189"/>
  <c r="S99" i="189"/>
  <c r="R99" i="189"/>
  <c r="Q99" i="189"/>
  <c r="P99" i="189"/>
  <c r="O99" i="189"/>
  <c r="N99" i="189"/>
  <c r="M99" i="189"/>
  <c r="L99" i="189"/>
  <c r="K99" i="189"/>
  <c r="J99" i="189"/>
  <c r="I99" i="189"/>
  <c r="H99" i="189"/>
  <c r="W88" i="189"/>
  <c r="V88" i="189"/>
  <c r="U88" i="189"/>
  <c r="T88" i="189"/>
  <c r="S88" i="189"/>
  <c r="R88" i="189"/>
  <c r="Q88" i="189"/>
  <c r="P88" i="189"/>
  <c r="O88" i="189"/>
  <c r="N88" i="189"/>
  <c r="M88" i="189"/>
  <c r="L88" i="189"/>
  <c r="K88" i="189"/>
  <c r="J88" i="189"/>
  <c r="I88" i="189"/>
  <c r="H88" i="189"/>
  <c r="W76" i="189"/>
  <c r="V76" i="189"/>
  <c r="U76" i="189"/>
  <c r="T76" i="189"/>
  <c r="S76" i="189"/>
  <c r="R76" i="189"/>
  <c r="Q76" i="189"/>
  <c r="P76" i="189"/>
  <c r="O76" i="189"/>
  <c r="N76" i="189"/>
  <c r="M76" i="189"/>
  <c r="L76" i="189"/>
  <c r="K76" i="189"/>
  <c r="J76" i="189"/>
  <c r="I76" i="189"/>
  <c r="H76" i="189"/>
  <c r="W71" i="189"/>
  <c r="V71" i="189"/>
  <c r="U71" i="189"/>
  <c r="T71" i="189"/>
  <c r="S71" i="189"/>
  <c r="R71" i="189"/>
  <c r="Q71" i="189"/>
  <c r="P71" i="189"/>
  <c r="O71" i="189"/>
  <c r="N71" i="189"/>
  <c r="M71" i="189"/>
  <c r="L71" i="189"/>
  <c r="K71" i="189"/>
  <c r="J71" i="189"/>
  <c r="I71" i="189"/>
  <c r="H71" i="189"/>
  <c r="W70" i="189"/>
  <c r="V70" i="189"/>
  <c r="U70" i="189"/>
  <c r="T70" i="189"/>
  <c r="S70" i="189"/>
  <c r="R70" i="189"/>
  <c r="Q70" i="189"/>
  <c r="P70" i="189"/>
  <c r="O70" i="189"/>
  <c r="N70" i="189"/>
  <c r="M70" i="189"/>
  <c r="L70" i="189"/>
  <c r="K70" i="189"/>
  <c r="J70" i="189"/>
  <c r="I70" i="189"/>
  <c r="H70" i="189"/>
  <c r="W66" i="189"/>
  <c r="V66" i="189"/>
  <c r="U66" i="189"/>
  <c r="T66" i="189"/>
  <c r="S66" i="189"/>
  <c r="R66" i="189"/>
  <c r="Q66" i="189"/>
  <c r="P66" i="189"/>
  <c r="O66" i="189"/>
  <c r="N66" i="189"/>
  <c r="M66" i="189"/>
  <c r="L66" i="189"/>
  <c r="K66" i="189"/>
  <c r="J66" i="189"/>
  <c r="I66" i="189"/>
  <c r="H66" i="189"/>
  <c r="W49" i="189"/>
  <c r="V49" i="189"/>
  <c r="U49" i="189"/>
  <c r="T49" i="189"/>
  <c r="S49" i="189"/>
  <c r="R49" i="189"/>
  <c r="Q49" i="189"/>
  <c r="P49" i="189"/>
  <c r="O49" i="189"/>
  <c r="N49" i="189"/>
  <c r="M49" i="189"/>
  <c r="L49" i="189"/>
  <c r="K49" i="189"/>
  <c r="J49" i="189"/>
  <c r="I49" i="189"/>
  <c r="H49" i="189"/>
  <c r="W48" i="189"/>
  <c r="V48" i="189"/>
  <c r="U48" i="189"/>
  <c r="T48" i="189"/>
  <c r="S48" i="189"/>
  <c r="R48" i="189"/>
  <c r="Q48" i="189"/>
  <c r="P48" i="189"/>
  <c r="O48" i="189"/>
  <c r="N48" i="189"/>
  <c r="M48" i="189"/>
  <c r="L48" i="189"/>
  <c r="K48" i="189"/>
  <c r="J48" i="189"/>
  <c r="I48" i="189"/>
  <c r="H48" i="189"/>
  <c r="W24" i="189"/>
  <c r="V24" i="189"/>
  <c r="U24" i="189"/>
  <c r="T24" i="189"/>
  <c r="S24" i="189"/>
  <c r="R24" i="189"/>
  <c r="Q24" i="189"/>
  <c r="P24" i="189"/>
  <c r="O24" i="189"/>
  <c r="N24" i="189"/>
  <c r="M24" i="189"/>
  <c r="L24" i="189"/>
  <c r="K24" i="189"/>
  <c r="J24" i="189"/>
  <c r="I24" i="189"/>
  <c r="H24" i="189"/>
  <c r="W20" i="189"/>
  <c r="V20" i="189"/>
  <c r="U20" i="189"/>
  <c r="T20" i="189"/>
  <c r="S20" i="189"/>
  <c r="R20" i="189"/>
  <c r="Q20" i="189"/>
  <c r="P20" i="189"/>
  <c r="O20" i="189"/>
  <c r="N20" i="189"/>
  <c r="M20" i="189"/>
  <c r="L20" i="189"/>
  <c r="K20" i="189"/>
  <c r="J20" i="189"/>
  <c r="I20" i="189"/>
  <c r="H20" i="189"/>
  <c r="W11" i="189"/>
  <c r="V11" i="189"/>
  <c r="U11" i="189"/>
  <c r="T11" i="189"/>
  <c r="S11" i="189"/>
  <c r="R11" i="189"/>
  <c r="Q11" i="189"/>
  <c r="P11" i="189"/>
  <c r="N11" i="189"/>
  <c r="M11" i="189"/>
  <c r="L11" i="189"/>
  <c r="K11" i="189"/>
  <c r="J11" i="189"/>
  <c r="I11" i="189"/>
  <c r="H11" i="189"/>
  <c r="I227" i="119"/>
  <c r="H227" i="119"/>
  <c r="W226" i="119"/>
  <c r="V226" i="119"/>
  <c r="U226" i="119"/>
  <c r="T226" i="119"/>
  <c r="S226" i="119"/>
  <c r="R226" i="119"/>
  <c r="Q226" i="119"/>
  <c r="P226" i="119"/>
  <c r="O226" i="119"/>
  <c r="N226" i="119"/>
  <c r="M226" i="119"/>
  <c r="L226" i="119"/>
  <c r="K226" i="119"/>
  <c r="J226" i="119"/>
  <c r="I226" i="119"/>
  <c r="H226" i="119"/>
  <c r="W176" i="119"/>
  <c r="V176" i="119"/>
  <c r="U176" i="119"/>
  <c r="T176" i="119"/>
  <c r="S176" i="119"/>
  <c r="R176" i="119"/>
  <c r="Q176" i="119"/>
  <c r="P176" i="119"/>
  <c r="O176" i="119"/>
  <c r="N176" i="119"/>
  <c r="M176" i="119"/>
  <c r="L176" i="119"/>
  <c r="K176" i="119"/>
  <c r="J176" i="119"/>
  <c r="I176" i="119"/>
  <c r="H176" i="119"/>
  <c r="W165" i="119"/>
  <c r="V165" i="119"/>
  <c r="U165" i="119"/>
  <c r="T165" i="119"/>
  <c r="S165" i="119"/>
  <c r="R165" i="119"/>
  <c r="Q165" i="119"/>
  <c r="P165" i="119"/>
  <c r="O165" i="119"/>
  <c r="N165" i="119"/>
  <c r="M165" i="119"/>
  <c r="L165" i="119"/>
  <c r="K165" i="119"/>
  <c r="J165" i="119"/>
  <c r="I165" i="119"/>
  <c r="H165" i="119"/>
  <c r="W153" i="119"/>
  <c r="V153" i="119"/>
  <c r="U153" i="119"/>
  <c r="T153" i="119"/>
  <c r="S153" i="119"/>
  <c r="R153" i="119"/>
  <c r="Q153" i="119"/>
  <c r="P153" i="119"/>
  <c r="O153" i="119"/>
  <c r="N153" i="119"/>
  <c r="M153" i="119"/>
  <c r="L153" i="119"/>
  <c r="K153" i="119"/>
  <c r="J153" i="119"/>
  <c r="I153" i="119"/>
  <c r="H153" i="119"/>
  <c r="W148" i="119"/>
  <c r="V148" i="119"/>
  <c r="U148" i="119"/>
  <c r="T148" i="119"/>
  <c r="S148" i="119"/>
  <c r="R148" i="119"/>
  <c r="Q148" i="119"/>
  <c r="P148" i="119"/>
  <c r="O148" i="119"/>
  <c r="N148" i="119"/>
  <c r="M148" i="119"/>
  <c r="L148" i="119"/>
  <c r="K148" i="119"/>
  <c r="J148" i="119"/>
  <c r="I148" i="119"/>
  <c r="H148" i="119"/>
  <c r="W147" i="119"/>
  <c r="V147" i="119"/>
  <c r="U147" i="119"/>
  <c r="T147" i="119"/>
  <c r="S147" i="119"/>
  <c r="R147" i="119"/>
  <c r="Q147" i="119"/>
  <c r="P147" i="119"/>
  <c r="O147" i="119"/>
  <c r="N147" i="119"/>
  <c r="M147" i="119"/>
  <c r="L147" i="119"/>
  <c r="K147" i="119"/>
  <c r="J147" i="119"/>
  <c r="I147" i="119"/>
  <c r="H147" i="119"/>
  <c r="W143" i="119"/>
  <c r="V143" i="119"/>
  <c r="U143" i="119"/>
  <c r="T143" i="119"/>
  <c r="S143" i="119"/>
  <c r="R143" i="119"/>
  <c r="Q143" i="119"/>
  <c r="P143" i="119"/>
  <c r="O143" i="119"/>
  <c r="N143" i="119"/>
  <c r="M143" i="119"/>
  <c r="L143" i="119"/>
  <c r="K143" i="119"/>
  <c r="J143" i="119"/>
  <c r="I143" i="119"/>
  <c r="H143" i="119"/>
  <c r="W99" i="119"/>
  <c r="V99" i="119"/>
  <c r="U99" i="119"/>
  <c r="T99" i="119"/>
  <c r="S99" i="119"/>
  <c r="R99" i="119"/>
  <c r="Q99" i="119"/>
  <c r="P99" i="119"/>
  <c r="O99" i="119"/>
  <c r="N99" i="119"/>
  <c r="M99" i="119"/>
  <c r="L99" i="119"/>
  <c r="K99" i="119"/>
  <c r="J99" i="119"/>
  <c r="I99" i="119"/>
  <c r="H99" i="119"/>
  <c r="W48" i="119"/>
  <c r="V48" i="119"/>
  <c r="U48" i="119"/>
  <c r="T48" i="119"/>
  <c r="S48" i="119"/>
  <c r="R48" i="119"/>
  <c r="Q48" i="119"/>
  <c r="P48" i="119"/>
  <c r="O48" i="119"/>
  <c r="N48" i="119"/>
  <c r="M48" i="119"/>
  <c r="L48" i="119"/>
  <c r="K48" i="119"/>
  <c r="J48" i="119"/>
  <c r="I48" i="119"/>
  <c r="H48" i="119"/>
  <c r="W44" i="119"/>
  <c r="V44" i="119"/>
  <c r="U44" i="119"/>
  <c r="T44" i="119"/>
  <c r="S44" i="119"/>
  <c r="R44" i="119"/>
  <c r="Q44" i="119"/>
  <c r="P44" i="119"/>
  <c r="N44" i="119"/>
  <c r="M44" i="119"/>
  <c r="L44" i="119"/>
  <c r="K44" i="119"/>
  <c r="J44" i="119"/>
  <c r="I44" i="119"/>
  <c r="H44" i="119"/>
  <c r="W18" i="119"/>
  <c r="V18" i="119"/>
  <c r="U18" i="119"/>
  <c r="T18" i="119"/>
  <c r="S18" i="119"/>
  <c r="R18" i="119"/>
  <c r="Q18" i="119"/>
  <c r="P18" i="119"/>
  <c r="O18" i="119"/>
  <c r="N18" i="119"/>
  <c r="M18" i="119"/>
  <c r="L18" i="119"/>
  <c r="J18" i="119"/>
  <c r="I18" i="119"/>
  <c r="H18" i="119"/>
  <c r="W11" i="119"/>
  <c r="V11" i="119"/>
  <c r="U11" i="119"/>
  <c r="T11" i="119"/>
  <c r="S11" i="119"/>
  <c r="R11" i="119"/>
  <c r="Q11" i="119"/>
  <c r="P11" i="119"/>
  <c r="O11" i="119"/>
  <c r="N11" i="119"/>
  <c r="M11" i="119"/>
  <c r="L11" i="119"/>
  <c r="K11" i="119"/>
  <c r="J11" i="119"/>
  <c r="I11" i="119"/>
  <c r="H11" i="119"/>
  <c r="W57" i="187"/>
  <c r="V57" i="187"/>
  <c r="U57" i="187"/>
  <c r="T57" i="187"/>
  <c r="S57" i="187"/>
  <c r="R57" i="187"/>
  <c r="Q57" i="187"/>
  <c r="P57" i="187"/>
  <c r="O57" i="187"/>
  <c r="N57" i="187"/>
  <c r="M57" i="187"/>
  <c r="L57" i="187"/>
  <c r="K57" i="187"/>
  <c r="J57" i="187"/>
  <c r="I57" i="187"/>
  <c r="H57" i="187"/>
  <c r="W47" i="187"/>
  <c r="V47" i="187"/>
  <c r="U47" i="187"/>
  <c r="T47" i="187"/>
  <c r="S47" i="187"/>
  <c r="R47" i="187"/>
  <c r="Q47" i="187"/>
  <c r="P47" i="187"/>
  <c r="O47" i="187"/>
  <c r="N47" i="187"/>
  <c r="M47" i="187"/>
  <c r="L47" i="187"/>
  <c r="K47" i="187"/>
  <c r="J47" i="187"/>
  <c r="I47" i="187"/>
  <c r="H47" i="187"/>
  <c r="W37" i="187"/>
  <c r="V37" i="187"/>
  <c r="U37" i="187"/>
  <c r="T37" i="187"/>
  <c r="S37" i="187"/>
  <c r="R37" i="187"/>
  <c r="Q37" i="187"/>
  <c r="P37" i="187"/>
  <c r="O37" i="187"/>
  <c r="N37" i="187"/>
  <c r="M37" i="187"/>
  <c r="L37" i="187"/>
  <c r="K37" i="187"/>
  <c r="J37" i="187"/>
  <c r="I37" i="187"/>
  <c r="H37" i="187"/>
  <c r="W118" i="186"/>
  <c r="V118" i="186"/>
  <c r="U118" i="186"/>
  <c r="T118" i="186"/>
  <c r="S118" i="186"/>
  <c r="R118" i="186"/>
  <c r="Q118" i="186"/>
  <c r="P118" i="186"/>
  <c r="O118" i="186"/>
  <c r="N118" i="186"/>
  <c r="M118" i="186"/>
  <c r="L118" i="186"/>
  <c r="K118" i="186"/>
  <c r="J118" i="186"/>
  <c r="I118" i="186"/>
  <c r="H118" i="186"/>
  <c r="W117" i="186"/>
  <c r="V117" i="186"/>
  <c r="U117" i="186"/>
  <c r="T117" i="186"/>
  <c r="S117" i="186"/>
  <c r="R117" i="186"/>
  <c r="Q117" i="186"/>
  <c r="P117" i="186"/>
  <c r="O117" i="186"/>
  <c r="N117" i="186"/>
  <c r="M117" i="186"/>
  <c r="L117" i="186"/>
  <c r="K117" i="186"/>
  <c r="J117" i="186"/>
  <c r="I117" i="186"/>
  <c r="H117" i="186"/>
  <c r="W116" i="186"/>
  <c r="V116" i="186"/>
  <c r="U116" i="186"/>
  <c r="T116" i="186"/>
  <c r="S116" i="186"/>
  <c r="R116" i="186"/>
  <c r="Q116" i="186"/>
  <c r="P116" i="186"/>
  <c r="O116" i="186"/>
  <c r="N116" i="186"/>
  <c r="M116" i="186"/>
  <c r="L116" i="186"/>
  <c r="K116" i="186"/>
  <c r="J116" i="186"/>
  <c r="I116" i="186"/>
  <c r="H116" i="186"/>
  <c r="W115" i="186"/>
  <c r="V115" i="186"/>
  <c r="U115" i="186"/>
  <c r="T115" i="186"/>
  <c r="S115" i="186"/>
  <c r="R115" i="186"/>
  <c r="Q115" i="186"/>
  <c r="P115" i="186"/>
  <c r="O115" i="186"/>
  <c r="N115" i="186"/>
  <c r="M115" i="186"/>
  <c r="L115" i="186"/>
  <c r="K115" i="186"/>
  <c r="J115" i="186"/>
  <c r="I115" i="186"/>
  <c r="H115" i="186"/>
  <c r="W114" i="186"/>
  <c r="V114" i="186"/>
  <c r="U114" i="186"/>
  <c r="T114" i="186"/>
  <c r="S114" i="186"/>
  <c r="R114" i="186"/>
  <c r="Q114" i="186"/>
  <c r="P114" i="186"/>
  <c r="O114" i="186"/>
  <c r="N114" i="186"/>
  <c r="M114" i="186"/>
  <c r="L114" i="186"/>
  <c r="K114" i="186"/>
  <c r="J114" i="186"/>
  <c r="I114" i="186"/>
  <c r="H114" i="186"/>
  <c r="I89" i="186"/>
  <c r="I71" i="186"/>
  <c r="G71" i="186"/>
  <c r="F71" i="186"/>
  <c r="F60" i="186"/>
  <c r="F62" i="186"/>
  <c r="W48" i="186"/>
  <c r="V48" i="186"/>
  <c r="U48" i="186"/>
  <c r="T48" i="186"/>
  <c r="S48" i="186"/>
  <c r="R48" i="186"/>
  <c r="Q48" i="186"/>
  <c r="P48" i="186"/>
  <c r="O48" i="186"/>
  <c r="N48" i="186"/>
  <c r="M48" i="186"/>
  <c r="L48" i="186"/>
  <c r="K48" i="186"/>
  <c r="J48" i="186"/>
  <c r="I48" i="186"/>
  <c r="H48" i="186"/>
  <c r="G3" i="188"/>
  <c r="G2" i="188"/>
  <c r="G3" i="186"/>
  <c r="G2" i="186"/>
  <c r="G3" i="187"/>
  <c r="G2" i="187"/>
  <c r="G3" i="119"/>
  <c r="G2" i="119"/>
  <c r="G3" i="189"/>
  <c r="G2" i="189"/>
  <c r="G2" i="190"/>
  <c r="G3" i="190"/>
  <c r="G3" i="193"/>
  <c r="G2" i="193"/>
  <c r="G28" i="193"/>
  <c r="G29" i="193"/>
  <c r="E29" i="193"/>
  <c r="E28" i="193"/>
  <c r="G14" i="193"/>
  <c r="G16" i="193"/>
  <c r="E16" i="193"/>
  <c r="E14" i="193"/>
  <c r="G13" i="193"/>
  <c r="E13" i="193"/>
  <c r="E5" i="193"/>
  <c r="E4" i="193"/>
  <c r="E3" i="193"/>
  <c r="E2" i="193"/>
  <c r="W18" i="186"/>
  <c r="V18" i="186"/>
  <c r="U18" i="186"/>
  <c r="T18" i="186"/>
  <c r="S18" i="186"/>
  <c r="R18" i="186"/>
  <c r="Q18" i="186"/>
  <c r="P18" i="186"/>
  <c r="O18" i="186"/>
  <c r="N18" i="186"/>
  <c r="M18" i="186"/>
  <c r="L18" i="186"/>
  <c r="K18" i="186"/>
  <c r="J18" i="186"/>
  <c r="I18" i="186"/>
  <c r="H18" i="186"/>
  <c r="W17" i="186"/>
  <c r="V17" i="186"/>
  <c r="U17" i="186"/>
  <c r="T17" i="186"/>
  <c r="S17" i="186"/>
  <c r="R17" i="186"/>
  <c r="Q17" i="186"/>
  <c r="P17" i="186"/>
  <c r="O17" i="186"/>
  <c r="N17" i="186"/>
  <c r="M17" i="186"/>
  <c r="L17" i="186"/>
  <c r="K17" i="186"/>
  <c r="J17" i="186"/>
  <c r="I17" i="186"/>
  <c r="H17" i="186"/>
  <c r="W23" i="186"/>
  <c r="V23" i="186"/>
  <c r="U23" i="186"/>
  <c r="T23" i="186"/>
  <c r="S23" i="186"/>
  <c r="R23" i="186"/>
  <c r="Q23" i="186"/>
  <c r="P23" i="186"/>
  <c r="O23" i="186"/>
  <c r="N23" i="186"/>
  <c r="M23" i="186"/>
  <c r="L23" i="186"/>
  <c r="K23" i="186"/>
  <c r="J23" i="186"/>
  <c r="I23" i="186"/>
  <c r="H23" i="186"/>
  <c r="W29" i="186"/>
  <c r="V29" i="186"/>
  <c r="U29" i="186"/>
  <c r="T29" i="186"/>
  <c r="S29" i="186"/>
  <c r="R29" i="186"/>
  <c r="Q29" i="186"/>
  <c r="P29" i="186"/>
  <c r="O29" i="186"/>
  <c r="N29" i="186"/>
  <c r="M29" i="186"/>
  <c r="L29" i="186"/>
  <c r="K29" i="186"/>
  <c r="J29" i="186"/>
  <c r="I29" i="186"/>
  <c r="H29" i="186"/>
  <c r="W38" i="186"/>
  <c r="V38" i="186"/>
  <c r="U38" i="186"/>
  <c r="T38" i="186"/>
  <c r="S38" i="186"/>
  <c r="R38" i="186"/>
  <c r="Q38" i="186"/>
  <c r="P38" i="186"/>
  <c r="O38" i="186"/>
  <c r="N38" i="186"/>
  <c r="M38" i="186"/>
  <c r="L38" i="186"/>
  <c r="K38" i="186"/>
  <c r="J38" i="186"/>
  <c r="I38" i="186"/>
  <c r="H38" i="186"/>
  <c r="W45" i="186"/>
  <c r="V45" i="186"/>
  <c r="U45" i="186"/>
  <c r="T45" i="186"/>
  <c r="S45" i="186"/>
  <c r="R45" i="186"/>
  <c r="Q45" i="186"/>
  <c r="P45" i="186"/>
  <c r="O45" i="186"/>
  <c r="N45" i="186"/>
  <c r="M45" i="186"/>
  <c r="L45" i="186"/>
  <c r="K45" i="186"/>
  <c r="J45" i="186"/>
  <c r="I45" i="186"/>
  <c r="H45" i="186"/>
  <c r="W44" i="186"/>
  <c r="V44" i="186"/>
  <c r="U44" i="186"/>
  <c r="T44" i="186"/>
  <c r="S44" i="186"/>
  <c r="R44" i="186"/>
  <c r="Q44" i="186"/>
  <c r="P44" i="186"/>
  <c r="O44" i="186"/>
  <c r="N44" i="186"/>
  <c r="M44" i="186"/>
  <c r="L44" i="186"/>
  <c r="K44" i="186"/>
  <c r="J44" i="186"/>
  <c r="I44" i="186"/>
  <c r="H44" i="186"/>
  <c r="W124" i="186"/>
  <c r="V124" i="186"/>
  <c r="U124" i="186"/>
  <c r="T124" i="186"/>
  <c r="S124" i="186"/>
  <c r="R124" i="186"/>
  <c r="Q124" i="186"/>
  <c r="P124" i="186"/>
  <c r="O124" i="186"/>
  <c r="N124" i="186"/>
  <c r="M124" i="186"/>
  <c r="L124" i="186"/>
  <c r="K124" i="186"/>
  <c r="J124" i="186"/>
  <c r="I124" i="186"/>
  <c r="H124" i="186"/>
  <c r="W123" i="186"/>
  <c r="V123" i="186"/>
  <c r="U123" i="186"/>
  <c r="T123" i="186"/>
  <c r="S123" i="186"/>
  <c r="R123" i="186"/>
  <c r="Q123" i="186"/>
  <c r="P123" i="186"/>
  <c r="O123" i="186"/>
  <c r="N123" i="186"/>
  <c r="M123" i="186"/>
  <c r="L123" i="186"/>
  <c r="K123" i="186"/>
  <c r="J123" i="186"/>
  <c r="I123" i="186"/>
  <c r="H123" i="186"/>
  <c r="W103" i="186"/>
  <c r="V103" i="186"/>
  <c r="U103" i="186"/>
  <c r="T103" i="186"/>
  <c r="S103" i="186"/>
  <c r="R103" i="186"/>
  <c r="Q103" i="186"/>
  <c r="P103" i="186"/>
  <c r="O103" i="186"/>
  <c r="N103" i="186"/>
  <c r="M103" i="186"/>
  <c r="L103" i="186"/>
  <c r="K103" i="186"/>
  <c r="J103" i="186"/>
  <c r="I103" i="186"/>
  <c r="H103" i="186"/>
  <c r="W102" i="186"/>
  <c r="V102" i="186"/>
  <c r="U102" i="186"/>
  <c r="T102" i="186"/>
  <c r="S102" i="186"/>
  <c r="R102" i="186"/>
  <c r="Q102" i="186"/>
  <c r="P102" i="186"/>
  <c r="O102" i="186"/>
  <c r="N102" i="186"/>
  <c r="M102" i="186"/>
  <c r="L102" i="186"/>
  <c r="K102" i="186"/>
  <c r="J102" i="186"/>
  <c r="I102" i="186"/>
  <c r="H102" i="186"/>
  <c r="W101" i="186"/>
  <c r="V101" i="186"/>
  <c r="U101" i="186"/>
  <c r="T101" i="186"/>
  <c r="S101" i="186"/>
  <c r="R101" i="186"/>
  <c r="Q101" i="186"/>
  <c r="P101" i="186"/>
  <c r="O101" i="186"/>
  <c r="N101" i="186"/>
  <c r="M101" i="186"/>
  <c r="L101" i="186"/>
  <c r="K101" i="186"/>
  <c r="J101" i="186"/>
  <c r="I101" i="186"/>
  <c r="H101" i="186"/>
  <c r="I61" i="187"/>
  <c r="I62" i="187"/>
  <c r="I63" i="187"/>
  <c r="I58" i="187"/>
  <c r="I51" i="187"/>
  <c r="I52" i="187"/>
  <c r="I53" i="187"/>
  <c r="I48" i="187"/>
  <c r="H41" i="187"/>
  <c r="I41" i="187"/>
  <c r="H42" i="187"/>
  <c r="I42" i="187"/>
  <c r="F38" i="187"/>
  <c r="G38" i="187"/>
  <c r="I38" i="187"/>
  <c r="I31" i="187"/>
  <c r="F125" i="186"/>
  <c r="G125" i="186"/>
  <c r="H125" i="186"/>
  <c r="I125" i="186"/>
  <c r="F126" i="186"/>
  <c r="G126" i="186"/>
  <c r="I126" i="186"/>
  <c r="F108" i="186"/>
  <c r="G108" i="186"/>
  <c r="I108" i="186"/>
  <c r="F109" i="186"/>
  <c r="G109" i="186"/>
  <c r="I109" i="186"/>
  <c r="F110" i="186"/>
  <c r="G110" i="186"/>
  <c r="I110" i="186"/>
  <c r="I104" i="186"/>
  <c r="F96" i="186"/>
  <c r="G96" i="186"/>
  <c r="I96" i="186"/>
  <c r="F97" i="186"/>
  <c r="G97" i="186"/>
  <c r="I97" i="186"/>
  <c r="F98" i="186"/>
  <c r="G98" i="186"/>
  <c r="I98" i="186"/>
  <c r="I90" i="186"/>
  <c r="F84" i="186"/>
  <c r="G84" i="186"/>
  <c r="F85" i="186"/>
  <c r="G85" i="186"/>
  <c r="I85" i="186"/>
  <c r="F79" i="186"/>
  <c r="I79" i="186"/>
  <c r="I75" i="186"/>
  <c r="J76" i="186" s="1"/>
  <c r="F66" i="186"/>
  <c r="G66" i="186"/>
  <c r="I66" i="186"/>
  <c r="F67" i="186"/>
  <c r="G67" i="186"/>
  <c r="I67" i="186"/>
  <c r="I60" i="186"/>
  <c r="F54" i="186"/>
  <c r="G54" i="186"/>
  <c r="I54" i="186"/>
  <c r="F55" i="186"/>
  <c r="G55" i="186"/>
  <c r="I49" i="186"/>
  <c r="I50" i="186"/>
  <c r="I39" i="186"/>
  <c r="I40" i="186"/>
  <c r="I30" i="186"/>
  <c r="I31" i="186"/>
  <c r="I19" i="186"/>
  <c r="F24" i="186"/>
  <c r="I24" i="186"/>
  <c r="I13" i="186"/>
  <c r="I139" i="189"/>
  <c r="I140" i="189"/>
  <c r="I133" i="189"/>
  <c r="I134" i="189"/>
  <c r="I115" i="189"/>
  <c r="I117" i="189"/>
  <c r="I100" i="189"/>
  <c r="I105" i="189"/>
  <c r="I106" i="189"/>
  <c r="I92" i="189"/>
  <c r="I93" i="189"/>
  <c r="I89" i="189"/>
  <c r="I81" i="189"/>
  <c r="I77" i="189"/>
  <c r="I72" i="189"/>
  <c r="I73" i="189"/>
  <c r="I67" i="189"/>
  <c r="I54" i="189"/>
  <c r="I55" i="189"/>
  <c r="I50" i="189"/>
  <c r="I42" i="189"/>
  <c r="I37" i="189"/>
  <c r="I38" i="189"/>
  <c r="I39" i="189"/>
  <c r="I26" i="189"/>
  <c r="I12" i="189"/>
  <c r="I229" i="119"/>
  <c r="I177" i="119"/>
  <c r="I169" i="119"/>
  <c r="I166" i="119"/>
  <c r="I158" i="119"/>
  <c r="I159" i="119"/>
  <c r="I154" i="119"/>
  <c r="I149" i="119"/>
  <c r="I150" i="119"/>
  <c r="I144" i="119"/>
  <c r="I105" i="119"/>
  <c r="I106" i="119"/>
  <c r="I102" i="119"/>
  <c r="I76" i="119"/>
  <c r="I77" i="119"/>
  <c r="I54" i="119"/>
  <c r="I50" i="119"/>
  <c r="F44" i="119"/>
  <c r="H19" i="119"/>
  <c r="I19" i="119"/>
  <c r="H12" i="119"/>
  <c r="I12" i="119"/>
  <c r="F53" i="119"/>
  <c r="G53" i="119"/>
  <c r="H53" i="119"/>
  <c r="I53" i="119"/>
  <c r="E53" i="119"/>
  <c r="I43" i="189"/>
  <c r="J43" i="189"/>
  <c r="K43" i="189"/>
  <c r="L43" i="189"/>
  <c r="M43" i="189"/>
  <c r="E84" i="186"/>
  <c r="F11" i="119"/>
  <c r="G11" i="119"/>
  <c r="E11" i="119"/>
  <c r="G29" i="186"/>
  <c r="E29" i="186"/>
  <c r="H31" i="186"/>
  <c r="G31" i="186"/>
  <c r="F31" i="186"/>
  <c r="E31" i="186"/>
  <c r="H30" i="186"/>
  <c r="G30" i="186"/>
  <c r="F30" i="186"/>
  <c r="E30" i="186"/>
  <c r="W19" i="187"/>
  <c r="V19" i="187"/>
  <c r="U19" i="187"/>
  <c r="T19" i="187"/>
  <c r="S19" i="187"/>
  <c r="R19" i="187"/>
  <c r="Q19" i="187"/>
  <c r="P19" i="187"/>
  <c r="O19" i="187"/>
  <c r="N19" i="187"/>
  <c r="M19" i="187"/>
  <c r="L19" i="187"/>
  <c r="K19" i="187"/>
  <c r="J19" i="187"/>
  <c r="I19" i="187"/>
  <c r="H19" i="187"/>
  <c r="G19" i="187"/>
  <c r="E19" i="187"/>
  <c r="I15" i="187"/>
  <c r="G15" i="187"/>
  <c r="F15" i="187"/>
  <c r="E15" i="187"/>
  <c r="F227" i="119"/>
  <c r="F177" i="119"/>
  <c r="G177" i="119"/>
  <c r="H177" i="119"/>
  <c r="E177" i="119"/>
  <c r="F100" i="189"/>
  <c r="G100" i="189"/>
  <c r="H100" i="189"/>
  <c r="E100" i="189"/>
  <c r="H125" i="188"/>
  <c r="H119" i="188"/>
  <c r="H117" i="188"/>
  <c r="H99" i="188"/>
  <c r="H82" i="119" s="1"/>
  <c r="H97" i="188"/>
  <c r="H48" i="187" s="1"/>
  <c r="H81" i="188"/>
  <c r="H94" i="119" s="1"/>
  <c r="H79" i="188"/>
  <c r="H38" i="187" s="1"/>
  <c r="F39" i="189"/>
  <c r="G159" i="119"/>
  <c r="E159" i="119"/>
  <c r="G77" i="119"/>
  <c r="F77" i="119"/>
  <c r="E77" i="119"/>
  <c r="G76" i="119"/>
  <c r="F76" i="119"/>
  <c r="E76" i="119"/>
  <c r="W43" i="189"/>
  <c r="V43" i="189"/>
  <c r="U43" i="189"/>
  <c r="T43" i="189"/>
  <c r="S43" i="189"/>
  <c r="R43" i="189"/>
  <c r="Q43" i="189"/>
  <c r="P43" i="189"/>
  <c r="O43" i="189"/>
  <c r="N43" i="189"/>
  <c r="G43" i="189"/>
  <c r="E43" i="189"/>
  <c r="G42" i="189"/>
  <c r="F42" i="189"/>
  <c r="E42" i="189"/>
  <c r="G39" i="189"/>
  <c r="E39" i="189"/>
  <c r="G38" i="189"/>
  <c r="F38" i="189"/>
  <c r="E38" i="189"/>
  <c r="G37" i="189"/>
  <c r="E37" i="189"/>
  <c r="F50" i="189"/>
  <c r="G50" i="189"/>
  <c r="E50" i="189"/>
  <c r="H26" i="189"/>
  <c r="G26" i="189"/>
  <c r="F26" i="189"/>
  <c r="E26" i="189"/>
  <c r="G24" i="189"/>
  <c r="E24" i="189"/>
  <c r="G54" i="119"/>
  <c r="H54" i="119"/>
  <c r="F54" i="119"/>
  <c r="E54" i="119"/>
  <c r="H50" i="119"/>
  <c r="G50" i="119"/>
  <c r="F50" i="119"/>
  <c r="E50" i="119"/>
  <c r="G48" i="119"/>
  <c r="F48" i="119"/>
  <c r="E48" i="119"/>
  <c r="G12" i="119"/>
  <c r="F12" i="119"/>
  <c r="E12" i="119"/>
  <c r="F41" i="187"/>
  <c r="G41" i="187"/>
  <c r="E41" i="187"/>
  <c r="L38" i="187"/>
  <c r="M38" i="187"/>
  <c r="N38" i="187"/>
  <c r="O38" i="187"/>
  <c r="P38" i="187"/>
  <c r="Q38" i="187"/>
  <c r="R38" i="187"/>
  <c r="S38" i="187"/>
  <c r="T38" i="187"/>
  <c r="U38" i="187"/>
  <c r="V38" i="187"/>
  <c r="W38" i="187"/>
  <c r="E38" i="187"/>
  <c r="G43" i="187"/>
  <c r="F43" i="187"/>
  <c r="E43" i="187"/>
  <c r="G42" i="187"/>
  <c r="F42" i="187"/>
  <c r="E42" i="187"/>
  <c r="G37" i="187"/>
  <c r="E37" i="187"/>
  <c r="E47" i="187"/>
  <c r="F47" i="187"/>
  <c r="T48" i="187"/>
  <c r="G47" i="187"/>
  <c r="E19" i="119"/>
  <c r="F19" i="119"/>
  <c r="G19" i="119"/>
  <c r="E51" i="187"/>
  <c r="F51" i="187"/>
  <c r="G51" i="187"/>
  <c r="H51" i="187"/>
  <c r="E58" i="187"/>
  <c r="F58" i="187"/>
  <c r="G58" i="187"/>
  <c r="J58" i="187"/>
  <c r="K58" i="187"/>
  <c r="L58" i="187"/>
  <c r="M58" i="187"/>
  <c r="N58" i="187"/>
  <c r="O58" i="187"/>
  <c r="P58" i="187"/>
  <c r="Q58" i="187"/>
  <c r="R58" i="187"/>
  <c r="S58" i="187"/>
  <c r="T58" i="187"/>
  <c r="U58" i="187"/>
  <c r="V58" i="187"/>
  <c r="W58" i="187"/>
  <c r="G53" i="187"/>
  <c r="F53" i="187"/>
  <c r="E53" i="187"/>
  <c r="H52" i="187"/>
  <c r="G52" i="187"/>
  <c r="F52" i="187"/>
  <c r="E52" i="187"/>
  <c r="W48" i="187"/>
  <c r="V48" i="187"/>
  <c r="U48" i="187"/>
  <c r="S48" i="187"/>
  <c r="R48" i="187"/>
  <c r="Q48" i="187"/>
  <c r="P48" i="187"/>
  <c r="O48" i="187"/>
  <c r="N48" i="187"/>
  <c r="M48" i="187"/>
  <c r="L48" i="187"/>
  <c r="K48" i="187"/>
  <c r="J48" i="187"/>
  <c r="G48" i="187"/>
  <c r="F48" i="187"/>
  <c r="E48" i="187"/>
  <c r="E13" i="190"/>
  <c r="F13" i="190"/>
  <c r="G13" i="190"/>
  <c r="I13" i="190"/>
  <c r="E5" i="190"/>
  <c r="E4" i="190"/>
  <c r="E3" i="190"/>
  <c r="E2" i="190"/>
  <c r="E5" i="189"/>
  <c r="E4" i="189"/>
  <c r="E3" i="189"/>
  <c r="E2" i="189"/>
  <c r="G134" i="189"/>
  <c r="F134" i="189"/>
  <c r="E134" i="189"/>
  <c r="G117" i="189"/>
  <c r="F117" i="189"/>
  <c r="E117" i="189"/>
  <c r="H115" i="189"/>
  <c r="G115" i="189"/>
  <c r="F115" i="189"/>
  <c r="E115" i="189"/>
  <c r="H92" i="189"/>
  <c r="G92" i="189"/>
  <c r="F92" i="189"/>
  <c r="E92" i="189"/>
  <c r="H54" i="189"/>
  <c r="G54" i="189"/>
  <c r="F54" i="189"/>
  <c r="E54" i="189"/>
  <c r="H12" i="189"/>
  <c r="G12" i="189"/>
  <c r="F12" i="189"/>
  <c r="E12" i="189"/>
  <c r="G114" i="189"/>
  <c r="F114" i="189"/>
  <c r="E114" i="189"/>
  <c r="G99" i="189"/>
  <c r="F99" i="189"/>
  <c r="E99" i="189"/>
  <c r="G88" i="189"/>
  <c r="F88" i="189"/>
  <c r="E88" i="189"/>
  <c r="G76" i="189"/>
  <c r="F76" i="189"/>
  <c r="E76" i="189"/>
  <c r="G71" i="189"/>
  <c r="F71" i="189"/>
  <c r="E71" i="189"/>
  <c r="G70" i="189"/>
  <c r="F70" i="189"/>
  <c r="E70" i="189"/>
  <c r="G66" i="189"/>
  <c r="F66" i="189"/>
  <c r="E66" i="189"/>
  <c r="G49" i="189"/>
  <c r="F49" i="189"/>
  <c r="E49" i="189"/>
  <c r="G48" i="189"/>
  <c r="F48" i="189"/>
  <c r="E48" i="189"/>
  <c r="G20" i="189"/>
  <c r="E20" i="189"/>
  <c r="G11" i="189"/>
  <c r="F11" i="189"/>
  <c r="E11" i="189"/>
  <c r="G140" i="189"/>
  <c r="F140" i="189"/>
  <c r="E140" i="189"/>
  <c r="G139" i="189"/>
  <c r="F139" i="189"/>
  <c r="E139" i="189"/>
  <c r="G106" i="189"/>
  <c r="F106" i="189"/>
  <c r="E106" i="189"/>
  <c r="G105" i="189"/>
  <c r="F105" i="189"/>
  <c r="E105" i="189"/>
  <c r="G93" i="189"/>
  <c r="F93" i="189"/>
  <c r="E93" i="189"/>
  <c r="G89" i="189"/>
  <c r="F89" i="189"/>
  <c r="E89" i="189"/>
  <c r="H81" i="189"/>
  <c r="G81" i="189"/>
  <c r="F81" i="189"/>
  <c r="E81" i="189"/>
  <c r="H77" i="189"/>
  <c r="G77" i="189"/>
  <c r="F77" i="189"/>
  <c r="E77" i="189"/>
  <c r="H73" i="189"/>
  <c r="G73" i="189"/>
  <c r="F73" i="189"/>
  <c r="E73" i="189"/>
  <c r="H72" i="189"/>
  <c r="G72" i="189"/>
  <c r="F72" i="189"/>
  <c r="E72" i="189"/>
  <c r="H67" i="189"/>
  <c r="G67" i="189"/>
  <c r="F67" i="189"/>
  <c r="G55" i="189"/>
  <c r="F55" i="189"/>
  <c r="E55" i="189"/>
  <c r="G133" i="189"/>
  <c r="E106" i="119"/>
  <c r="F106" i="119"/>
  <c r="G106" i="119"/>
  <c r="H158" i="119"/>
  <c r="G158" i="119"/>
  <c r="F158" i="119"/>
  <c r="E158" i="119"/>
  <c r="E99" i="119"/>
  <c r="F99" i="119"/>
  <c r="G99" i="119"/>
  <c r="H102" i="119"/>
  <c r="G102" i="119"/>
  <c r="F102" i="119"/>
  <c r="E102" i="119"/>
  <c r="E100" i="119"/>
  <c r="G60" i="186"/>
  <c r="E60" i="186"/>
  <c r="G62" i="186"/>
  <c r="E62" i="186"/>
  <c r="I269" i="119"/>
  <c r="G269" i="119"/>
  <c r="F269" i="119"/>
  <c r="E269" i="119"/>
  <c r="G229" i="119"/>
  <c r="F229" i="119"/>
  <c r="E229" i="119"/>
  <c r="G227" i="119"/>
  <c r="E227" i="119"/>
  <c r="G226" i="119"/>
  <c r="F226" i="119"/>
  <c r="E226" i="119"/>
  <c r="E57" i="187"/>
  <c r="F57" i="187"/>
  <c r="G57" i="187"/>
  <c r="E61" i="187"/>
  <c r="F61" i="187"/>
  <c r="G61" i="187"/>
  <c r="H61" i="187"/>
  <c r="H62" i="187"/>
  <c r="G62" i="187"/>
  <c r="F62" i="187"/>
  <c r="E62" i="187"/>
  <c r="E153" i="119"/>
  <c r="F153" i="119"/>
  <c r="G153" i="119"/>
  <c r="G165" i="119"/>
  <c r="F165" i="119"/>
  <c r="E165" i="119"/>
  <c r="E148" i="119"/>
  <c r="F148" i="119"/>
  <c r="G148" i="119"/>
  <c r="G147" i="119"/>
  <c r="F147" i="119"/>
  <c r="E147" i="119"/>
  <c r="E143" i="119"/>
  <c r="F143" i="119"/>
  <c r="G143" i="119"/>
  <c r="E176" i="119"/>
  <c r="F176" i="119"/>
  <c r="G176" i="119"/>
  <c r="E44" i="119"/>
  <c r="G44" i="119"/>
  <c r="E18" i="119"/>
  <c r="F18" i="119"/>
  <c r="G18" i="119"/>
  <c r="E5" i="188"/>
  <c r="E4" i="188"/>
  <c r="E3" i="188"/>
  <c r="E2" i="188"/>
  <c r="E124" i="186"/>
  <c r="F124" i="186"/>
  <c r="G124" i="186"/>
  <c r="E123" i="186"/>
  <c r="F123" i="186"/>
  <c r="G123" i="186"/>
  <c r="E103" i="186"/>
  <c r="F103" i="186"/>
  <c r="G103" i="186"/>
  <c r="E102" i="186"/>
  <c r="F102" i="186"/>
  <c r="G102" i="186"/>
  <c r="E101" i="186"/>
  <c r="F101" i="186"/>
  <c r="G101" i="186"/>
  <c r="E45" i="186"/>
  <c r="G45" i="186"/>
  <c r="G44" i="186"/>
  <c r="E44" i="186"/>
  <c r="E38" i="186"/>
  <c r="G38" i="186"/>
  <c r="G23" i="186"/>
  <c r="E23" i="186"/>
  <c r="E18" i="186"/>
  <c r="G18" i="186"/>
  <c r="G17" i="186"/>
  <c r="E17" i="186"/>
  <c r="E170" i="119"/>
  <c r="F170" i="119"/>
  <c r="G170" i="119"/>
  <c r="E169" i="119"/>
  <c r="F169" i="119"/>
  <c r="G169" i="119"/>
  <c r="H169" i="119"/>
  <c r="E150" i="119"/>
  <c r="F150" i="119"/>
  <c r="G150" i="119"/>
  <c r="H150" i="119"/>
  <c r="E154" i="119"/>
  <c r="F154" i="119"/>
  <c r="G154" i="119"/>
  <c r="H154" i="119"/>
  <c r="H149" i="119"/>
  <c r="G149" i="119"/>
  <c r="F149" i="119"/>
  <c r="E149" i="119"/>
  <c r="E144" i="119"/>
  <c r="F144" i="119"/>
  <c r="G144" i="119"/>
  <c r="H144" i="119"/>
  <c r="E105" i="119"/>
  <c r="F105" i="119"/>
  <c r="G105" i="119"/>
  <c r="H105" i="119"/>
  <c r="G63" i="187"/>
  <c r="F63" i="187"/>
  <c r="E63" i="187"/>
  <c r="E31" i="187"/>
  <c r="F31" i="187"/>
  <c r="G31" i="187"/>
  <c r="H31" i="187"/>
  <c r="E5" i="119"/>
  <c r="E4" i="119"/>
  <c r="E3" i="119"/>
  <c r="E2" i="119"/>
  <c r="E4" i="187"/>
  <c r="E3" i="187"/>
  <c r="E2" i="187"/>
  <c r="E5" i="187"/>
  <c r="J5" i="190"/>
  <c r="E126" i="186"/>
  <c r="E125" i="186"/>
  <c r="G118" i="186"/>
  <c r="E118" i="186"/>
  <c r="G117" i="186"/>
  <c r="E117" i="186"/>
  <c r="G116" i="186"/>
  <c r="E116" i="186"/>
  <c r="G115" i="186"/>
  <c r="E115" i="186"/>
  <c r="G114" i="186"/>
  <c r="E114" i="186"/>
  <c r="E110" i="186"/>
  <c r="E109" i="186"/>
  <c r="E108" i="186"/>
  <c r="H104" i="186"/>
  <c r="G104" i="186"/>
  <c r="F104" i="186"/>
  <c r="E104" i="186"/>
  <c r="E98" i="186"/>
  <c r="E97" i="186"/>
  <c r="E96" i="186"/>
  <c r="G90" i="186"/>
  <c r="F90" i="186"/>
  <c r="E90" i="186"/>
  <c r="H89" i="186"/>
  <c r="G89" i="186"/>
  <c r="F89" i="186"/>
  <c r="E89" i="186"/>
  <c r="E85" i="186"/>
  <c r="G79" i="186"/>
  <c r="E79" i="186"/>
  <c r="G75" i="186"/>
  <c r="F75" i="186"/>
  <c r="E75" i="186"/>
  <c r="E71" i="186"/>
  <c r="E67" i="186"/>
  <c r="E66" i="186"/>
  <c r="E55" i="186"/>
  <c r="E54" i="186"/>
  <c r="H50" i="186"/>
  <c r="G50" i="186"/>
  <c r="F50" i="186"/>
  <c r="E50" i="186"/>
  <c r="H49" i="186"/>
  <c r="G49" i="186"/>
  <c r="F49" i="186"/>
  <c r="E49" i="186"/>
  <c r="G48" i="186"/>
  <c r="E48" i="186"/>
  <c r="H40" i="186"/>
  <c r="G40" i="186"/>
  <c r="F40" i="186"/>
  <c r="E40" i="186"/>
  <c r="H39" i="186"/>
  <c r="G39" i="186"/>
  <c r="F39" i="186"/>
  <c r="E39" i="186"/>
  <c r="H24" i="186"/>
  <c r="G24" i="186"/>
  <c r="E24" i="186"/>
  <c r="G19" i="186"/>
  <c r="F19" i="186"/>
  <c r="E19" i="186"/>
  <c r="H13" i="186"/>
  <c r="G13" i="186"/>
  <c r="F13" i="186"/>
  <c r="E13" i="186"/>
  <c r="E5" i="186"/>
  <c r="E4" i="186"/>
  <c r="E3" i="186"/>
  <c r="E2" i="186"/>
  <c r="G166" i="119"/>
  <c r="F166" i="119"/>
  <c r="F133" i="189"/>
  <c r="J5" i="188"/>
  <c r="V106" i="189"/>
  <c r="W106" i="189"/>
  <c r="I170" i="119"/>
  <c r="K59" i="187" l="1"/>
  <c r="K61" i="187" s="1"/>
  <c r="H58" i="187"/>
  <c r="J13" i="186"/>
  <c r="J14" i="186" s="1"/>
  <c r="J126" i="186" s="1"/>
  <c r="J127" i="186" s="1"/>
  <c r="J5" i="201"/>
  <c r="U49" i="187"/>
  <c r="U51" i="187" s="1"/>
  <c r="J92" i="189"/>
  <c r="J54" i="201"/>
  <c r="J121" i="201"/>
  <c r="J92" i="201"/>
  <c r="J115" i="201"/>
  <c r="H43" i="189"/>
  <c r="H21" i="189"/>
  <c r="J98" i="186"/>
  <c r="J79" i="186"/>
  <c r="J80" i="186" s="1"/>
  <c r="J110" i="186" s="1"/>
  <c r="J5" i="189"/>
  <c r="J5" i="119"/>
  <c r="J5" i="186"/>
  <c r="J5" i="193"/>
  <c r="J5" i="187"/>
  <c r="K10" i="186"/>
  <c r="K49" i="187"/>
  <c r="K51" i="187" s="1"/>
  <c r="L49" i="187"/>
  <c r="L51" i="187" s="1"/>
  <c r="Q49" i="187"/>
  <c r="Q51" i="187" s="1"/>
  <c r="N49" i="187"/>
  <c r="N51" i="187" s="1"/>
  <c r="J115" i="189"/>
  <c r="J256" i="119"/>
  <c r="J121" i="189"/>
  <c r="J233" i="119"/>
  <c r="K39" i="187"/>
  <c r="K41" i="187" s="1"/>
  <c r="Q20" i="187"/>
  <c r="Q26" i="187"/>
  <c r="F127" i="188"/>
  <c r="F14" i="193" s="1"/>
  <c r="V22" i="189"/>
  <c r="V25" i="189" s="1"/>
  <c r="N22" i="189"/>
  <c r="N25" i="189" s="1"/>
  <c r="Q22" i="189"/>
  <c r="Q25" i="189" s="1"/>
  <c r="M22" i="189"/>
  <c r="M25" i="189" s="1"/>
  <c r="R22" i="189"/>
  <c r="R25" i="189" s="1"/>
  <c r="J22" i="189"/>
  <c r="J25" i="189" s="1"/>
  <c r="U22" i="189"/>
  <c r="U25" i="189" s="1"/>
  <c r="K22" i="189"/>
  <c r="K25" i="189" s="1"/>
  <c r="L22" i="189"/>
  <c r="L25" i="189" s="1"/>
  <c r="O22" i="189"/>
  <c r="O25" i="189" s="1"/>
  <c r="P22" i="189"/>
  <c r="P25" i="189" s="1"/>
  <c r="S22" i="189"/>
  <c r="S25" i="189" s="1"/>
  <c r="T22" i="189"/>
  <c r="T25" i="189" s="1"/>
  <c r="W22" i="189"/>
  <c r="W25" i="189" s="1"/>
  <c r="R46" i="119"/>
  <c r="R49" i="119" s="1"/>
  <c r="J46" i="119"/>
  <c r="J49" i="119" s="1"/>
  <c r="S46" i="119"/>
  <c r="S49" i="119" s="1"/>
  <c r="W46" i="119"/>
  <c r="W49" i="119" s="1"/>
  <c r="O46" i="119"/>
  <c r="O49" i="119" s="1"/>
  <c r="V46" i="119"/>
  <c r="V49" i="119" s="1"/>
  <c r="N46" i="119"/>
  <c r="N49" i="119" s="1"/>
  <c r="K46" i="119"/>
  <c r="K49" i="119" s="1"/>
  <c r="L46" i="119"/>
  <c r="L49" i="119" s="1"/>
  <c r="Q46" i="119"/>
  <c r="Q49" i="119" s="1"/>
  <c r="T46" i="119"/>
  <c r="T49" i="119" s="1"/>
  <c r="M46" i="119"/>
  <c r="M49" i="119" s="1"/>
  <c r="P46" i="119"/>
  <c r="P49" i="119" s="1"/>
  <c r="U46" i="119"/>
  <c r="U49" i="119" s="1"/>
  <c r="J227" i="119"/>
  <c r="R41" i="188"/>
  <c r="S49" i="187"/>
  <c r="S51" i="187" s="1"/>
  <c r="O49" i="187"/>
  <c r="O51" i="187" s="1"/>
  <c r="T49" i="187"/>
  <c r="T51" i="187" s="1"/>
  <c r="F109" i="188"/>
  <c r="F13" i="193" s="1"/>
  <c r="P49" i="187"/>
  <c r="P51" i="187" s="1"/>
  <c r="M49" i="187"/>
  <c r="M51" i="187" s="1"/>
  <c r="V49" i="187"/>
  <c r="V51" i="187" s="1"/>
  <c r="V59" i="187"/>
  <c r="J49" i="187"/>
  <c r="J51" i="187" s="1"/>
  <c r="R49" i="187"/>
  <c r="R51" i="187" s="1"/>
  <c r="W49" i="187"/>
  <c r="W51" i="187" s="1"/>
  <c r="O39" i="187"/>
  <c r="O41" i="187" s="1"/>
  <c r="F46" i="186"/>
  <c r="F48" i="186" s="1"/>
  <c r="O59" i="187"/>
  <c r="N39" i="187"/>
  <c r="N41" i="187" s="1"/>
  <c r="K11" i="187"/>
  <c r="J39" i="187"/>
  <c r="J41" i="187" s="1"/>
  <c r="Q59" i="187"/>
  <c r="N59" i="187"/>
  <c r="V39" i="187"/>
  <c r="V41" i="187" s="1"/>
  <c r="S39" i="187"/>
  <c r="S41" i="187" s="1"/>
  <c r="S59" i="187"/>
  <c r="M59" i="187"/>
  <c r="L59" i="187"/>
  <c r="J59" i="187"/>
  <c r="T39" i="187"/>
  <c r="T41" i="187" s="1"/>
  <c r="R59" i="187"/>
  <c r="W59" i="187"/>
  <c r="L39" i="187"/>
  <c r="L41" i="187" s="1"/>
  <c r="Q39" i="187"/>
  <c r="Q41" i="187" s="1"/>
  <c r="J31" i="187"/>
  <c r="J32" i="187" s="1"/>
  <c r="J72" i="187" s="1"/>
  <c r="J249" i="119"/>
  <c r="J105" i="119"/>
  <c r="J54" i="189"/>
  <c r="J169" i="119"/>
  <c r="J117" i="119"/>
  <c r="M39" i="187"/>
  <c r="M41" i="187" s="1"/>
  <c r="P39" i="187"/>
  <c r="P41" i="187" s="1"/>
  <c r="W39" i="187"/>
  <c r="W41" i="187" s="1"/>
  <c r="R39" i="187"/>
  <c r="R41" i="187" s="1"/>
  <c r="U39" i="187"/>
  <c r="U41" i="187" s="1"/>
  <c r="P59" i="187"/>
  <c r="T59" i="187"/>
  <c r="U59" i="187"/>
  <c r="V201" i="119"/>
  <c r="E166" i="119"/>
  <c r="W201" i="119"/>
  <c r="E133" i="189"/>
  <c r="J66" i="186" l="1"/>
  <c r="J19" i="186"/>
  <c r="J20" i="186" s="1"/>
  <c r="J49" i="186" s="1"/>
  <c r="J96" i="186"/>
  <c r="L10" i="186"/>
  <c r="L5" i="201" s="1"/>
  <c r="K5" i="201"/>
  <c r="S61" i="187"/>
  <c r="O61" i="187"/>
  <c r="M61" i="187"/>
  <c r="U61" i="187"/>
  <c r="R61" i="187"/>
  <c r="N61" i="187"/>
  <c r="Q61" i="187"/>
  <c r="T61" i="187"/>
  <c r="W61" i="187"/>
  <c r="P61" i="187"/>
  <c r="J61" i="187"/>
  <c r="L61" i="187"/>
  <c r="V61" i="187"/>
  <c r="K92" i="201"/>
  <c r="K115" i="201"/>
  <c r="K121" i="201"/>
  <c r="K54" i="201"/>
  <c r="J37" i="119"/>
  <c r="J4" i="201"/>
  <c r="J4" i="190"/>
  <c r="K13" i="186"/>
  <c r="K14" i="186" s="1"/>
  <c r="K5" i="189"/>
  <c r="K5" i="188"/>
  <c r="K5" i="186"/>
  <c r="K5" i="193"/>
  <c r="K5" i="187"/>
  <c r="K5" i="190"/>
  <c r="K5" i="119"/>
  <c r="J4" i="186"/>
  <c r="J4" i="187"/>
  <c r="R20" i="187"/>
  <c r="R26" i="187"/>
  <c r="J4" i="193"/>
  <c r="J89" i="186"/>
  <c r="J4" i="119"/>
  <c r="K249" i="119"/>
  <c r="K121" i="189"/>
  <c r="K233" i="119"/>
  <c r="K256" i="119"/>
  <c r="K227" i="119"/>
  <c r="K54" i="189"/>
  <c r="S41" i="188"/>
  <c r="K115" i="189"/>
  <c r="K31" i="187"/>
  <c r="K32" i="187" s="1"/>
  <c r="K105" i="119"/>
  <c r="J4" i="189"/>
  <c r="K14" i="187"/>
  <c r="K10" i="187"/>
  <c r="J4" i="188"/>
  <c r="K92" i="189"/>
  <c r="K169" i="119"/>
  <c r="K117" i="119"/>
  <c r="J62" i="187"/>
  <c r="J52" i="187"/>
  <c r="J42" i="187"/>
  <c r="H46" i="119"/>
  <c r="H49" i="119" s="1"/>
  <c r="H22" i="189"/>
  <c r="H25" i="189" s="1"/>
  <c r="J30" i="186" l="1"/>
  <c r="J24" i="186"/>
  <c r="J25" i="186" s="1"/>
  <c r="J50" i="186" s="1"/>
  <c r="J51" i="186" s="1"/>
  <c r="J39" i="186"/>
  <c r="M10" i="186"/>
  <c r="M5" i="201" s="1"/>
  <c r="L5" i="187"/>
  <c r="L5" i="189"/>
  <c r="L5" i="119"/>
  <c r="L5" i="186"/>
  <c r="L5" i="190"/>
  <c r="L5" i="193"/>
  <c r="L5" i="188"/>
  <c r="L13" i="186"/>
  <c r="L14" i="186" s="1"/>
  <c r="L96" i="186" s="1"/>
  <c r="K52" i="187"/>
  <c r="K72" i="187"/>
  <c r="K66" i="186"/>
  <c r="K126" i="186"/>
  <c r="K19" i="186"/>
  <c r="K20" i="186" s="1"/>
  <c r="K96" i="186"/>
  <c r="S20" i="187"/>
  <c r="S26" i="187"/>
  <c r="K62" i="187"/>
  <c r="K42" i="187"/>
  <c r="T41" i="188"/>
  <c r="L10" i="187"/>
  <c r="L14" i="187"/>
  <c r="J2" i="189" l="1"/>
  <c r="J40" i="186"/>
  <c r="J41" i="186" s="1"/>
  <c r="J13" i="189" s="1"/>
  <c r="J2" i="186"/>
  <c r="J2" i="119"/>
  <c r="J31" i="186"/>
  <c r="J32" i="186" s="1"/>
  <c r="J125" i="186"/>
  <c r="J2" i="201"/>
  <c r="J2" i="190"/>
  <c r="J2" i="188"/>
  <c r="J2" i="193"/>
  <c r="J2" i="187"/>
  <c r="M5" i="193"/>
  <c r="M5" i="189"/>
  <c r="L126" i="186"/>
  <c r="L19" i="186"/>
  <c r="L20" i="186" s="1"/>
  <c r="L30" i="186" s="1"/>
  <c r="M5" i="119"/>
  <c r="L66" i="186"/>
  <c r="M5" i="187"/>
  <c r="M5" i="190"/>
  <c r="M13" i="186"/>
  <c r="M14" i="186" s="1"/>
  <c r="M19" i="186" s="1"/>
  <c r="N10" i="186"/>
  <c r="N5" i="201" s="1"/>
  <c r="M5" i="188"/>
  <c r="M5" i="186"/>
  <c r="J235" i="119"/>
  <c r="J236" i="119" s="1"/>
  <c r="J239" i="119" s="1"/>
  <c r="J123" i="201"/>
  <c r="J124" i="201" s="1"/>
  <c r="J127" i="201" s="1"/>
  <c r="J134" i="201"/>
  <c r="J117" i="201"/>
  <c r="J118" i="201" s="1"/>
  <c r="J126" i="201" s="1"/>
  <c r="J117" i="189"/>
  <c r="J118" i="189" s="1"/>
  <c r="J126" i="189" s="1"/>
  <c r="J75" i="186"/>
  <c r="K76" i="186" s="1"/>
  <c r="K98" i="186" s="1"/>
  <c r="J134" i="189"/>
  <c r="J258" i="119"/>
  <c r="J259" i="119" s="1"/>
  <c r="J262" i="119" s="1"/>
  <c r="J123" i="189"/>
  <c r="J124" i="189" s="1"/>
  <c r="J127" i="189" s="1"/>
  <c r="J229" i="119"/>
  <c r="J230" i="119" s="1"/>
  <c r="J238" i="119" s="1"/>
  <c r="J252" i="119"/>
  <c r="J253" i="119" s="1"/>
  <c r="J261" i="119" s="1"/>
  <c r="J269" i="119"/>
  <c r="J62" i="186"/>
  <c r="J55" i="186"/>
  <c r="J277" i="119"/>
  <c r="K39" i="186"/>
  <c r="K49" i="186"/>
  <c r="K24" i="186"/>
  <c r="K25" i="186" s="1"/>
  <c r="K2" i="201" s="1"/>
  <c r="K30" i="186"/>
  <c r="T20" i="187"/>
  <c r="T26" i="187"/>
  <c r="U41" i="188"/>
  <c r="M14" i="187"/>
  <c r="M10" i="187"/>
  <c r="M11" i="187" s="1"/>
  <c r="L11" i="187"/>
  <c r="N5" i="187" l="1"/>
  <c r="N5" i="190"/>
  <c r="N5" i="188"/>
  <c r="J67" i="186"/>
  <c r="J68" i="186" s="1"/>
  <c r="J108" i="186" s="1"/>
  <c r="N5" i="193"/>
  <c r="J97" i="186"/>
  <c r="J99" i="186" s="1"/>
  <c r="J104" i="186" s="1"/>
  <c r="J105" i="186" s="1"/>
  <c r="J3" i="201" s="1"/>
  <c r="J54" i="186"/>
  <c r="J56" i="186" s="1"/>
  <c r="J53" i="187" s="1"/>
  <c r="J54" i="187" s="1"/>
  <c r="J19" i="119" s="1"/>
  <c r="J60" i="186"/>
  <c r="J13" i="119"/>
  <c r="J71" i="186"/>
  <c r="J20" i="119"/>
  <c r="J13" i="201"/>
  <c r="J90" i="186"/>
  <c r="N13" i="186"/>
  <c r="N14" i="186" s="1"/>
  <c r="N126" i="186" s="1"/>
  <c r="N5" i="186"/>
  <c r="O10" i="186"/>
  <c r="O5" i="201" s="1"/>
  <c r="N5" i="189"/>
  <c r="N5" i="119"/>
  <c r="M66" i="186"/>
  <c r="M126" i="186"/>
  <c r="M96" i="186"/>
  <c r="K79" i="186"/>
  <c r="K80" i="186" s="1"/>
  <c r="K110" i="186" s="1"/>
  <c r="J85" i="186"/>
  <c r="L115" i="201"/>
  <c r="L121" i="201"/>
  <c r="L54" i="201"/>
  <c r="L92" i="201"/>
  <c r="M115" i="201"/>
  <c r="M54" i="201"/>
  <c r="M121" i="201"/>
  <c r="M92" i="201"/>
  <c r="J240" i="119"/>
  <c r="J282" i="119" s="1"/>
  <c r="J263" i="119"/>
  <c r="J286" i="119" s="1"/>
  <c r="J128" i="201"/>
  <c r="J139" i="201" s="1"/>
  <c r="J128" i="189"/>
  <c r="J139" i="189" s="1"/>
  <c r="L39" i="186"/>
  <c r="L24" i="186"/>
  <c r="L25" i="186" s="1"/>
  <c r="M20" i="186"/>
  <c r="M39" i="186" s="1"/>
  <c r="L49" i="186"/>
  <c r="K2" i="186"/>
  <c r="K2" i="193"/>
  <c r="K31" i="186"/>
  <c r="K32" i="186" s="1"/>
  <c r="K2" i="190"/>
  <c r="K50" i="186"/>
  <c r="K51" i="186" s="1"/>
  <c r="K125" i="186"/>
  <c r="K127" i="186" s="1"/>
  <c r="K4" i="201" s="1"/>
  <c r="K2" i="119"/>
  <c r="K40" i="186"/>
  <c r="K41" i="186" s="1"/>
  <c r="K13" i="201" s="1"/>
  <c r="K2" i="189"/>
  <c r="K2" i="188"/>
  <c r="K2" i="187"/>
  <c r="M121" i="189"/>
  <c r="M256" i="119"/>
  <c r="M233" i="119"/>
  <c r="U20" i="187"/>
  <c r="U26" i="187"/>
  <c r="L121" i="189"/>
  <c r="L233" i="119"/>
  <c r="L256" i="119"/>
  <c r="V41" i="188"/>
  <c r="N14" i="187"/>
  <c r="N10" i="187"/>
  <c r="N11" i="187" s="1"/>
  <c r="M54" i="189"/>
  <c r="M105" i="119"/>
  <c r="M249" i="119"/>
  <c r="M31" i="187"/>
  <c r="M32" i="187" s="1"/>
  <c r="M72" i="187" s="1"/>
  <c r="M117" i="119"/>
  <c r="M115" i="189"/>
  <c r="M92" i="189"/>
  <c r="M227" i="119"/>
  <c r="M169" i="119"/>
  <c r="L169" i="119"/>
  <c r="L92" i="189"/>
  <c r="L31" i="187"/>
  <c r="L32" i="187" s="1"/>
  <c r="L72" i="187" s="1"/>
  <c r="L117" i="119"/>
  <c r="L227" i="119"/>
  <c r="L54" i="189"/>
  <c r="L249" i="119"/>
  <c r="L105" i="119"/>
  <c r="L115" i="189"/>
  <c r="J82" i="189" l="1"/>
  <c r="J83" i="189" s="1"/>
  <c r="J85" i="189" s="1"/>
  <c r="J86" i="189" s="1"/>
  <c r="N66" i="186"/>
  <c r="J3" i="186"/>
  <c r="J171" i="119"/>
  <c r="J3" i="193"/>
  <c r="J202" i="119"/>
  <c r="J21" i="119"/>
  <c r="J76" i="119" s="1"/>
  <c r="J3" i="190"/>
  <c r="N96" i="186"/>
  <c r="J61" i="186"/>
  <c r="J63" i="186" s="1"/>
  <c r="J26" i="201" s="1"/>
  <c r="J27" i="201" s="1"/>
  <c r="J30" i="201" s="1"/>
  <c r="J3" i="119"/>
  <c r="N19" i="186"/>
  <c r="J84" i="186"/>
  <c r="J86" i="186" s="1"/>
  <c r="J184" i="119"/>
  <c r="J94" i="201"/>
  <c r="J95" i="201" s="1"/>
  <c r="J106" i="201" s="1"/>
  <c r="J50" i="119"/>
  <c r="J51" i="119" s="1"/>
  <c r="J54" i="119" s="1"/>
  <c r="O13" i="186"/>
  <c r="O14" i="186" s="1"/>
  <c r="O96" i="186" s="1"/>
  <c r="J109" i="186"/>
  <c r="J111" i="186" s="1"/>
  <c r="J107" i="189"/>
  <c r="J107" i="201"/>
  <c r="O5" i="189"/>
  <c r="O5" i="193"/>
  <c r="J21" i="187"/>
  <c r="J82" i="201"/>
  <c r="J83" i="201" s="1"/>
  <c r="J85" i="201" s="1"/>
  <c r="J86" i="201" s="1"/>
  <c r="J133" i="201" s="1"/>
  <c r="J3" i="189"/>
  <c r="J159" i="119"/>
  <c r="J160" i="119" s="1"/>
  <c r="J162" i="119" s="1"/>
  <c r="J163" i="119" s="1"/>
  <c r="J222" i="119" s="1"/>
  <c r="J224" i="119" s="1"/>
  <c r="J268" i="119" s="1"/>
  <c r="J27" i="187"/>
  <c r="J28" i="187" s="1"/>
  <c r="J32" i="119" s="1"/>
  <c r="J43" i="187"/>
  <c r="J44" i="187" s="1"/>
  <c r="J12" i="119" s="1"/>
  <c r="J14" i="119" s="1"/>
  <c r="J87" i="119" s="1"/>
  <c r="J3" i="187"/>
  <c r="O5" i="190"/>
  <c r="J63" i="187"/>
  <c r="J64" i="187" s="1"/>
  <c r="J12" i="189" s="1"/>
  <c r="J14" i="189" s="1"/>
  <c r="J37" i="189" s="1"/>
  <c r="J94" i="189"/>
  <c r="J95" i="189" s="1"/>
  <c r="J106" i="189" s="1"/>
  <c r="O5" i="188"/>
  <c r="J3" i="188"/>
  <c r="P10" i="186"/>
  <c r="P5" i="201" s="1"/>
  <c r="J209" i="119"/>
  <c r="J73" i="187"/>
  <c r="J74" i="187" s="1"/>
  <c r="J12" i="201" s="1"/>
  <c r="J14" i="201" s="1"/>
  <c r="J37" i="201" s="1"/>
  <c r="O5" i="187"/>
  <c r="O5" i="119"/>
  <c r="O5" i="186"/>
  <c r="J51" i="201"/>
  <c r="J102" i="119"/>
  <c r="J26" i="189"/>
  <c r="J27" i="189" s="1"/>
  <c r="J30" i="189" s="1"/>
  <c r="J27" i="119"/>
  <c r="J29" i="119" s="1"/>
  <c r="J31" i="119" s="1"/>
  <c r="N92" i="201"/>
  <c r="N121" i="201"/>
  <c r="N54" i="201"/>
  <c r="N115" i="201"/>
  <c r="L2" i="193"/>
  <c r="L2" i="201"/>
  <c r="K123" i="201"/>
  <c r="K134" i="201"/>
  <c r="K117" i="201"/>
  <c r="K118" i="201" s="1"/>
  <c r="K126" i="201" s="1"/>
  <c r="L2" i="119"/>
  <c r="J172" i="119"/>
  <c r="J192" i="119" s="1"/>
  <c r="L2" i="190"/>
  <c r="L40" i="186"/>
  <c r="L41" i="186" s="1"/>
  <c r="M30" i="186"/>
  <c r="M49" i="186"/>
  <c r="M24" i="186"/>
  <c r="M25" i="186" s="1"/>
  <c r="N20" i="186"/>
  <c r="N39" i="186" s="1"/>
  <c r="L31" i="186"/>
  <c r="L32" i="186" s="1"/>
  <c r="L2" i="189"/>
  <c r="L2" i="186"/>
  <c r="L50" i="186"/>
  <c r="L51" i="186" s="1"/>
  <c r="L2" i="187"/>
  <c r="L2" i="188"/>
  <c r="L125" i="186"/>
  <c r="L127" i="186" s="1"/>
  <c r="L4" i="201" s="1"/>
  <c r="K13" i="189"/>
  <c r="K67" i="186"/>
  <c r="K68" i="186" s="1"/>
  <c r="K71" i="186"/>
  <c r="J72" i="186" s="1"/>
  <c r="J15" i="187" s="1"/>
  <c r="J16" i="187" s="1"/>
  <c r="K60" i="186"/>
  <c r="K13" i="119"/>
  <c r="K20" i="119"/>
  <c r="K54" i="186"/>
  <c r="K56" i="186" s="1"/>
  <c r="K73" i="187" s="1"/>
  <c r="K74" i="187" s="1"/>
  <c r="K12" i="201" s="1"/>
  <c r="K90" i="186"/>
  <c r="K97" i="186"/>
  <c r="K99" i="186" s="1"/>
  <c r="K104" i="186" s="1"/>
  <c r="K105" i="186" s="1"/>
  <c r="K3" i="201" s="1"/>
  <c r="K37" i="119"/>
  <c r="K4" i="193"/>
  <c r="K4" i="190"/>
  <c r="K4" i="188"/>
  <c r="K4" i="187"/>
  <c r="K89" i="186"/>
  <c r="K4" i="186"/>
  <c r="K4" i="189"/>
  <c r="K4" i="119"/>
  <c r="K55" i="186"/>
  <c r="K117" i="189"/>
  <c r="K118" i="189" s="1"/>
  <c r="K126" i="189" s="1"/>
  <c r="K75" i="186"/>
  <c r="L76" i="186" s="1"/>
  <c r="K229" i="119"/>
  <c r="K230" i="119" s="1"/>
  <c r="K238" i="119" s="1"/>
  <c r="K252" i="119"/>
  <c r="K253" i="119" s="1"/>
  <c r="K261" i="119" s="1"/>
  <c r="K277" i="119"/>
  <c r="K269" i="119"/>
  <c r="K134" i="189"/>
  <c r="K62" i="186"/>
  <c r="K258" i="119"/>
  <c r="K235" i="119"/>
  <c r="K123" i="189"/>
  <c r="N256" i="119"/>
  <c r="N121" i="189"/>
  <c r="N233" i="119"/>
  <c r="V20" i="187"/>
  <c r="V26" i="187"/>
  <c r="W41" i="188"/>
  <c r="L42" i="187"/>
  <c r="L62" i="187"/>
  <c r="L52" i="187"/>
  <c r="O10" i="187"/>
  <c r="O11" i="187" s="1"/>
  <c r="O14" i="187"/>
  <c r="N249" i="119"/>
  <c r="N31" i="187"/>
  <c r="N32" i="187" s="1"/>
  <c r="N72" i="187" s="1"/>
  <c r="N115" i="189"/>
  <c r="N54" i="189"/>
  <c r="N227" i="119"/>
  <c r="N92" i="189"/>
  <c r="N169" i="119"/>
  <c r="N117" i="119"/>
  <c r="N105" i="119"/>
  <c r="M52" i="187"/>
  <c r="M62" i="187"/>
  <c r="M42" i="187"/>
  <c r="J186" i="119"/>
  <c r="J65" i="119" l="1"/>
  <c r="J66" i="119" s="1"/>
  <c r="J69" i="119" s="1"/>
  <c r="P5" i="190"/>
  <c r="P5" i="189"/>
  <c r="O126" i="186"/>
  <c r="O66" i="186"/>
  <c r="O19" i="186"/>
  <c r="J51" i="189"/>
  <c r="P5" i="193"/>
  <c r="P13" i="186"/>
  <c r="P14" i="186" s="1"/>
  <c r="P19" i="186" s="1"/>
  <c r="J114" i="119"/>
  <c r="P5" i="187"/>
  <c r="J234" i="119"/>
  <c r="K236" i="119" s="1"/>
  <c r="K239" i="119" s="1"/>
  <c r="K240" i="119" s="1"/>
  <c r="K282" i="119" s="1"/>
  <c r="J166" i="119"/>
  <c r="J167" i="119" s="1"/>
  <c r="J170" i="119" s="1"/>
  <c r="J244" i="119"/>
  <c r="J122" i="201"/>
  <c r="K124" i="201" s="1"/>
  <c r="K127" i="201" s="1"/>
  <c r="K128" i="201" s="1"/>
  <c r="K139" i="201" s="1"/>
  <c r="J89" i="201"/>
  <c r="J90" i="201" s="1"/>
  <c r="J93" i="201" s="1"/>
  <c r="Q10" i="186"/>
  <c r="Q5" i="201" s="1"/>
  <c r="J217" i="119"/>
  <c r="P5" i="119"/>
  <c r="P5" i="188"/>
  <c r="P5" i="186"/>
  <c r="O121" i="201"/>
  <c r="O54" i="201"/>
  <c r="O92" i="201"/>
  <c r="O115" i="201"/>
  <c r="K107" i="201"/>
  <c r="K108" i="201" s="1"/>
  <c r="K39" i="201" s="1"/>
  <c r="K94" i="201"/>
  <c r="K95" i="201" s="1"/>
  <c r="K106" i="201" s="1"/>
  <c r="K82" i="201"/>
  <c r="K83" i="201" s="1"/>
  <c r="K85" i="201" s="1"/>
  <c r="K86" i="201" s="1"/>
  <c r="L55" i="186"/>
  <c r="L123" i="201"/>
  <c r="L134" i="201"/>
  <c r="L117" i="201"/>
  <c r="L118" i="201" s="1"/>
  <c r="L126" i="201" s="1"/>
  <c r="L54" i="186"/>
  <c r="L56" i="186" s="1"/>
  <c r="L73" i="187" s="1"/>
  <c r="L74" i="187" s="1"/>
  <c r="L12" i="201" s="1"/>
  <c r="L13" i="201"/>
  <c r="M2" i="186"/>
  <c r="M2" i="201"/>
  <c r="J188" i="119"/>
  <c r="J190" i="119" s="1"/>
  <c r="L97" i="186"/>
  <c r="L71" i="186"/>
  <c r="K72" i="186" s="1"/>
  <c r="K15" i="187" s="1"/>
  <c r="K16" i="187" s="1"/>
  <c r="K94" i="189"/>
  <c r="K171" i="119"/>
  <c r="K107" i="189"/>
  <c r="K184" i="119"/>
  <c r="K202" i="119"/>
  <c r="K209" i="119"/>
  <c r="J122" i="189"/>
  <c r="K124" i="189" s="1"/>
  <c r="K127" i="189" s="1"/>
  <c r="K128" i="189" s="1"/>
  <c r="K139" i="189" s="1"/>
  <c r="J133" i="189"/>
  <c r="J89" i="189"/>
  <c r="J90" i="189" s="1"/>
  <c r="J93" i="189" s="1"/>
  <c r="L67" i="186"/>
  <c r="L68" i="186" s="1"/>
  <c r="L269" i="119"/>
  <c r="L13" i="119"/>
  <c r="M2" i="188"/>
  <c r="L13" i="189"/>
  <c r="L75" i="186"/>
  <c r="M76" i="186" s="1"/>
  <c r="M98" i="186" s="1"/>
  <c r="L60" i="186"/>
  <c r="L90" i="186"/>
  <c r="L252" i="119"/>
  <c r="L253" i="119" s="1"/>
  <c r="L261" i="119" s="1"/>
  <c r="L20" i="119"/>
  <c r="N24" i="186"/>
  <c r="N25" i="186" s="1"/>
  <c r="M2" i="119"/>
  <c r="M125" i="186"/>
  <c r="M127" i="186" s="1"/>
  <c r="M4" i="201" s="1"/>
  <c r="M2" i="187"/>
  <c r="M2" i="193"/>
  <c r="M40" i="186"/>
  <c r="M41" i="186" s="1"/>
  <c r="L123" i="189"/>
  <c r="L62" i="186"/>
  <c r="N30" i="186"/>
  <c r="O20" i="186"/>
  <c r="O49" i="186" s="1"/>
  <c r="L117" i="189"/>
  <c r="L118" i="189" s="1"/>
  <c r="L126" i="189" s="1"/>
  <c r="L258" i="119"/>
  <c r="L235" i="119"/>
  <c r="M50" i="186"/>
  <c r="M51" i="186" s="1"/>
  <c r="M31" i="186"/>
  <c r="M32" i="186" s="1"/>
  <c r="N49" i="186"/>
  <c r="L134" i="189"/>
  <c r="L229" i="119"/>
  <c r="L230" i="119" s="1"/>
  <c r="L238" i="119" s="1"/>
  <c r="L277" i="119"/>
  <c r="M2" i="190"/>
  <c r="M2" i="189"/>
  <c r="L37" i="119"/>
  <c r="L89" i="186"/>
  <c r="L4" i="119"/>
  <c r="L4" i="190"/>
  <c r="L4" i="189"/>
  <c r="L4" i="187"/>
  <c r="L4" i="188"/>
  <c r="L4" i="186"/>
  <c r="L4" i="193"/>
  <c r="K27" i="187"/>
  <c r="K28" i="187" s="1"/>
  <c r="K21" i="187"/>
  <c r="K109" i="186"/>
  <c r="K53" i="187"/>
  <c r="K54" i="187" s="1"/>
  <c r="K19" i="119" s="1"/>
  <c r="K21" i="119" s="1"/>
  <c r="K76" i="119" s="1"/>
  <c r="K159" i="119"/>
  <c r="K160" i="119" s="1"/>
  <c r="K162" i="119" s="1"/>
  <c r="K163" i="119" s="1"/>
  <c r="K61" i="186"/>
  <c r="K43" i="187"/>
  <c r="K44" i="187" s="1"/>
  <c r="K12" i="119" s="1"/>
  <c r="K14" i="119" s="1"/>
  <c r="K87" i="119" s="1"/>
  <c r="K82" i="189"/>
  <c r="K83" i="189" s="1"/>
  <c r="K85" i="189" s="1"/>
  <c r="K86" i="189" s="1"/>
  <c r="K84" i="186"/>
  <c r="K63" i="187"/>
  <c r="K64" i="187" s="1"/>
  <c r="K108" i="186"/>
  <c r="K111" i="186" s="1"/>
  <c r="K85" i="186"/>
  <c r="L98" i="186"/>
  <c r="L79" i="186"/>
  <c r="L80" i="186" s="1"/>
  <c r="L110" i="186" s="1"/>
  <c r="K3" i="193"/>
  <c r="K3" i="187"/>
  <c r="K3" i="119"/>
  <c r="K3" i="189"/>
  <c r="K3" i="186"/>
  <c r="K3" i="188"/>
  <c r="K3" i="190"/>
  <c r="Q5" i="188"/>
  <c r="R10" i="186"/>
  <c r="R5" i="201" s="1"/>
  <c r="P66" i="186"/>
  <c r="P96" i="186"/>
  <c r="O121" i="189"/>
  <c r="O233" i="119"/>
  <c r="O256" i="119"/>
  <c r="W20" i="187"/>
  <c r="W26" i="187"/>
  <c r="J193" i="119"/>
  <c r="J194" i="119" s="1"/>
  <c r="J245" i="119"/>
  <c r="P10" i="187"/>
  <c r="P11" i="187" s="1"/>
  <c r="P14" i="187"/>
  <c r="O31" i="187"/>
  <c r="O32" i="187" s="1"/>
  <c r="O72" i="187" s="1"/>
  <c r="O169" i="119"/>
  <c r="O105" i="119"/>
  <c r="O92" i="189"/>
  <c r="O117" i="119"/>
  <c r="O54" i="189"/>
  <c r="O227" i="119"/>
  <c r="O249" i="119"/>
  <c r="O115" i="189"/>
  <c r="N42" i="187"/>
  <c r="N62" i="187"/>
  <c r="N52" i="187"/>
  <c r="P126" i="186" l="1"/>
  <c r="Q5" i="189"/>
  <c r="Q5" i="187"/>
  <c r="Q5" i="186"/>
  <c r="Q5" i="190"/>
  <c r="Q5" i="119"/>
  <c r="Q13" i="186"/>
  <c r="Q14" i="186" s="1"/>
  <c r="Q5" i="193"/>
  <c r="J246" i="119"/>
  <c r="J276" i="119" s="1"/>
  <c r="L99" i="186"/>
  <c r="L104" i="186" s="1"/>
  <c r="L105" i="186" s="1"/>
  <c r="L3" i="201" s="1"/>
  <c r="P115" i="201"/>
  <c r="P54" i="201"/>
  <c r="P92" i="201"/>
  <c r="P121" i="201"/>
  <c r="L43" i="187"/>
  <c r="L44" i="187" s="1"/>
  <c r="L12" i="119" s="1"/>
  <c r="L107" i="201"/>
  <c r="L94" i="201"/>
  <c r="L95" i="201" s="1"/>
  <c r="L106" i="201" s="1"/>
  <c r="L82" i="201"/>
  <c r="L83" i="201" s="1"/>
  <c r="L85" i="201" s="1"/>
  <c r="L86" i="201" s="1"/>
  <c r="N2" i="188"/>
  <c r="N2" i="201"/>
  <c r="M235" i="119"/>
  <c r="M134" i="201"/>
  <c r="M117" i="201"/>
  <c r="M118" i="201" s="1"/>
  <c r="M126" i="201" s="1"/>
  <c r="M123" i="201"/>
  <c r="M13" i="189"/>
  <c r="M13" i="201"/>
  <c r="N2" i="187"/>
  <c r="N2" i="186"/>
  <c r="K89" i="201"/>
  <c r="K90" i="201" s="1"/>
  <c r="K93" i="201" s="1"/>
  <c r="K122" i="201"/>
  <c r="L124" i="201" s="1"/>
  <c r="L127" i="201" s="1"/>
  <c r="L128" i="201" s="1"/>
  <c r="L139" i="201" s="1"/>
  <c r="K133" i="201"/>
  <c r="N40" i="186"/>
  <c r="N41" i="186" s="1"/>
  <c r="N13" i="201" s="1"/>
  <c r="N2" i="189"/>
  <c r="K12" i="189"/>
  <c r="K14" i="189" s="1"/>
  <c r="K37" i="189" s="1"/>
  <c r="K14" i="201"/>
  <c r="L85" i="186"/>
  <c r="L108" i="186"/>
  <c r="L27" i="187"/>
  <c r="L28" i="187" s="1"/>
  <c r="L32" i="119" s="1"/>
  <c r="L209" i="119"/>
  <c r="L94" i="189"/>
  <c r="L95" i="189" s="1"/>
  <c r="L106" i="189" s="1"/>
  <c r="L171" i="119"/>
  <c r="L107" i="189"/>
  <c r="L184" i="119"/>
  <c r="L202" i="119"/>
  <c r="M54" i="186"/>
  <c r="M56" i="186" s="1"/>
  <c r="M73" i="187" s="1"/>
  <c r="M74" i="187" s="1"/>
  <c r="M12" i="201" s="1"/>
  <c r="L21" i="187"/>
  <c r="L14" i="119"/>
  <c r="L87" i="119" s="1"/>
  <c r="L63" i="187"/>
  <c r="L64" i="187" s="1"/>
  <c r="L84" i="186"/>
  <c r="N50" i="186"/>
  <c r="N51" i="186" s="1"/>
  <c r="L82" i="189"/>
  <c r="L83" i="189" s="1"/>
  <c r="L85" i="189" s="1"/>
  <c r="L86" i="189" s="1"/>
  <c r="L122" i="189" s="1"/>
  <c r="L159" i="119"/>
  <c r="L160" i="119" s="1"/>
  <c r="L162" i="119" s="1"/>
  <c r="L163" i="119" s="1"/>
  <c r="L166" i="119" s="1"/>
  <c r="L167" i="119" s="1"/>
  <c r="L170" i="119" s="1"/>
  <c r="L109" i="186"/>
  <c r="L53" i="187"/>
  <c r="L54" i="187" s="1"/>
  <c r="L19" i="119" s="1"/>
  <c r="L21" i="119" s="1"/>
  <c r="L76" i="119" s="1"/>
  <c r="M97" i="186"/>
  <c r="M20" i="119"/>
  <c r="M79" i="186"/>
  <c r="M80" i="186" s="1"/>
  <c r="M110" i="186" s="1"/>
  <c r="L61" i="186"/>
  <c r="N2" i="193"/>
  <c r="N2" i="190"/>
  <c r="N125" i="186"/>
  <c r="N127" i="186" s="1"/>
  <c r="N2" i="119"/>
  <c r="N31" i="186"/>
  <c r="N32" i="186" s="1"/>
  <c r="M134" i="189"/>
  <c r="M67" i="186"/>
  <c r="M68" i="186" s="1"/>
  <c r="M108" i="186" s="1"/>
  <c r="M55" i="186"/>
  <c r="O39" i="186"/>
  <c r="M62" i="186"/>
  <c r="M4" i="119"/>
  <c r="M4" i="190"/>
  <c r="M4" i="187"/>
  <c r="M4" i="193"/>
  <c r="M89" i="186"/>
  <c r="M4" i="186"/>
  <c r="M37" i="119"/>
  <c r="M4" i="188"/>
  <c r="M4" i="189"/>
  <c r="M277" i="119"/>
  <c r="M229" i="119"/>
  <c r="M230" i="119" s="1"/>
  <c r="M238" i="119" s="1"/>
  <c r="M123" i="189"/>
  <c r="O30" i="186"/>
  <c r="M60" i="186"/>
  <c r="M90" i="186"/>
  <c r="P20" i="186"/>
  <c r="P30" i="186" s="1"/>
  <c r="M75" i="186"/>
  <c r="N76" i="186" s="1"/>
  <c r="N79" i="186" s="1"/>
  <c r="M117" i="189"/>
  <c r="M118" i="189" s="1"/>
  <c r="M126" i="189" s="1"/>
  <c r="M269" i="119"/>
  <c r="O24" i="186"/>
  <c r="O25" i="186" s="1"/>
  <c r="M71" i="186"/>
  <c r="L72" i="186" s="1"/>
  <c r="L15" i="187" s="1"/>
  <c r="L16" i="187" s="1"/>
  <c r="M13" i="119"/>
  <c r="M252" i="119"/>
  <c r="M253" i="119" s="1"/>
  <c r="M261" i="119" s="1"/>
  <c r="M258" i="119"/>
  <c r="K122" i="189"/>
  <c r="L124" i="189" s="1"/>
  <c r="L127" i="189" s="1"/>
  <c r="L128" i="189" s="1"/>
  <c r="L139" i="189" s="1"/>
  <c r="K89" i="189"/>
  <c r="K90" i="189" s="1"/>
  <c r="K93" i="189" s="1"/>
  <c r="K133" i="189"/>
  <c r="K203" i="119"/>
  <c r="K78" i="119" s="1"/>
  <c r="K108" i="189"/>
  <c r="K39" i="189" s="1"/>
  <c r="K210" i="119"/>
  <c r="K90" i="119" s="1"/>
  <c r="K63" i="186"/>
  <c r="K95" i="189"/>
  <c r="K106" i="189" s="1"/>
  <c r="K86" i="186"/>
  <c r="K244" i="119"/>
  <c r="K222" i="119"/>
  <c r="K224" i="119" s="1"/>
  <c r="K166" i="119"/>
  <c r="K167" i="119" s="1"/>
  <c r="K170" i="119" s="1"/>
  <c r="K217" i="119"/>
  <c r="K32" i="119"/>
  <c r="R5" i="193"/>
  <c r="R5" i="188"/>
  <c r="R5" i="190"/>
  <c r="S10" i="186"/>
  <c r="S5" i="201" s="1"/>
  <c r="R5" i="119"/>
  <c r="R5" i="186"/>
  <c r="R5" i="187"/>
  <c r="R13" i="186"/>
  <c r="R14" i="186" s="1"/>
  <c r="R5" i="189"/>
  <c r="Q19" i="186"/>
  <c r="Q66" i="186"/>
  <c r="Q96" i="186"/>
  <c r="Q126" i="186"/>
  <c r="P121" i="189"/>
  <c r="P233" i="119"/>
  <c r="P256" i="119"/>
  <c r="J208" i="119"/>
  <c r="J201" i="119"/>
  <c r="O62" i="187"/>
  <c r="O42" i="187"/>
  <c r="O52" i="187"/>
  <c r="Q10" i="187"/>
  <c r="Q11" i="187" s="1"/>
  <c r="Q14" i="187"/>
  <c r="P105" i="119"/>
  <c r="P31" i="187"/>
  <c r="P32" i="187" s="1"/>
  <c r="P72" i="187" s="1"/>
  <c r="P117" i="119"/>
  <c r="P92" i="189"/>
  <c r="P249" i="119"/>
  <c r="P169" i="119"/>
  <c r="P54" i="189"/>
  <c r="P115" i="189"/>
  <c r="P227" i="119"/>
  <c r="J257" i="119" l="1"/>
  <c r="K259" i="119" s="1"/>
  <c r="K262" i="119" s="1"/>
  <c r="K263" i="119" s="1"/>
  <c r="K286" i="119" s="1"/>
  <c r="N20" i="119"/>
  <c r="L86" i="186"/>
  <c r="L3" i="190"/>
  <c r="L3" i="187"/>
  <c r="M99" i="186"/>
  <c r="M104" i="186" s="1"/>
  <c r="M105" i="186" s="1"/>
  <c r="M3" i="201" s="1"/>
  <c r="L3" i="186"/>
  <c r="L3" i="188"/>
  <c r="L3" i="119"/>
  <c r="L3" i="193"/>
  <c r="L3" i="189"/>
  <c r="N80" i="186"/>
  <c r="N110" i="186" s="1"/>
  <c r="Q54" i="201"/>
  <c r="Q92" i="201"/>
  <c r="Q115" i="201"/>
  <c r="Q121" i="201"/>
  <c r="N90" i="186"/>
  <c r="N60" i="186"/>
  <c r="N4" i="188"/>
  <c r="N4" i="201"/>
  <c r="N37" i="119"/>
  <c r="N123" i="189"/>
  <c r="N134" i="201"/>
  <c r="N117" i="201"/>
  <c r="N118" i="201" s="1"/>
  <c r="N126" i="201" s="1"/>
  <c r="N123" i="201"/>
  <c r="M94" i="201"/>
  <c r="M95" i="201" s="1"/>
  <c r="M106" i="201" s="1"/>
  <c r="M82" i="201"/>
  <c r="M83" i="201" s="1"/>
  <c r="M85" i="201" s="1"/>
  <c r="M86" i="201" s="1"/>
  <c r="M107" i="201"/>
  <c r="L111" i="186"/>
  <c r="N97" i="186"/>
  <c r="O2" i="188"/>
  <c r="O2" i="201"/>
  <c r="N71" i="186"/>
  <c r="M72" i="186" s="1"/>
  <c r="M15" i="187" s="1"/>
  <c r="M16" i="187" s="1"/>
  <c r="L122" i="201"/>
  <c r="M124" i="201" s="1"/>
  <c r="M127" i="201" s="1"/>
  <c r="M128" i="201" s="1"/>
  <c r="M139" i="201" s="1"/>
  <c r="L133" i="201"/>
  <c r="L89" i="201"/>
  <c r="L90" i="201" s="1"/>
  <c r="L93" i="201" s="1"/>
  <c r="N13" i="119"/>
  <c r="N67" i="186"/>
  <c r="N68" i="186" s="1"/>
  <c r="N85" i="186" s="1"/>
  <c r="L217" i="119"/>
  <c r="P39" i="186"/>
  <c r="N54" i="186"/>
  <c r="N56" i="186" s="1"/>
  <c r="N73" i="187" s="1"/>
  <c r="N74" i="187" s="1"/>
  <c r="N12" i="201" s="1"/>
  <c r="N13" i="189"/>
  <c r="K26" i="201"/>
  <c r="K27" i="201" s="1"/>
  <c r="K51" i="201"/>
  <c r="L12" i="189"/>
  <c r="L14" i="189" s="1"/>
  <c r="L37" i="189" s="1"/>
  <c r="L14" i="201"/>
  <c r="K37" i="201"/>
  <c r="L222" i="119"/>
  <c r="L224" i="119" s="1"/>
  <c r="L268" i="119" s="1"/>
  <c r="M27" i="187"/>
  <c r="M28" i="187" s="1"/>
  <c r="M217" i="119" s="1"/>
  <c r="M202" i="119"/>
  <c r="M184" i="119"/>
  <c r="M186" i="119" s="1"/>
  <c r="M209" i="119"/>
  <c r="M94" i="189"/>
  <c r="M95" i="189" s="1"/>
  <c r="M106" i="189" s="1"/>
  <c r="M171" i="119"/>
  <c r="M172" i="119" s="1"/>
  <c r="M192" i="119" s="1"/>
  <c r="M107" i="189"/>
  <c r="M84" i="186"/>
  <c r="M3" i="189"/>
  <c r="L172" i="119"/>
  <c r="L186" i="119"/>
  <c r="L193" i="119" s="1"/>
  <c r="N4" i="186"/>
  <c r="N4" i="190"/>
  <c r="L244" i="119"/>
  <c r="L89" i="189"/>
  <c r="L90" i="189" s="1"/>
  <c r="L93" i="189" s="1"/>
  <c r="N89" i="186"/>
  <c r="N4" i="189"/>
  <c r="M82" i="189"/>
  <c r="M83" i="189" s="1"/>
  <c r="M85" i="189" s="1"/>
  <c r="M86" i="189" s="1"/>
  <c r="M122" i="189" s="1"/>
  <c r="M63" i="187"/>
  <c r="M64" i="187" s="1"/>
  <c r="M53" i="187"/>
  <c r="M54" i="187" s="1"/>
  <c r="M19" i="119" s="1"/>
  <c r="M21" i="119" s="1"/>
  <c r="M76" i="119" s="1"/>
  <c r="N4" i="193"/>
  <c r="N4" i="187"/>
  <c r="M159" i="119"/>
  <c r="M160" i="119" s="1"/>
  <c r="M162" i="119" s="1"/>
  <c r="M163" i="119" s="1"/>
  <c r="M124" i="189"/>
  <c r="M127" i="189" s="1"/>
  <c r="M128" i="189" s="1"/>
  <c r="M139" i="189" s="1"/>
  <c r="M61" i="186"/>
  <c r="M109" i="186"/>
  <c r="M111" i="186" s="1"/>
  <c r="O50" i="186"/>
  <c r="O51" i="186" s="1"/>
  <c r="O62" i="186" s="1"/>
  <c r="N4" i="119"/>
  <c r="L133" i="189"/>
  <c r="M21" i="187"/>
  <c r="M43" i="187"/>
  <c r="M44" i="187" s="1"/>
  <c r="M12" i="119" s="1"/>
  <c r="M14" i="119" s="1"/>
  <c r="M87" i="119" s="1"/>
  <c r="M3" i="119"/>
  <c r="O40" i="186"/>
  <c r="O41" i="186" s="1"/>
  <c r="O54" i="186" s="1"/>
  <c r="O125" i="186"/>
  <c r="O127" i="186" s="1"/>
  <c r="O2" i="119"/>
  <c r="O31" i="186"/>
  <c r="O32" i="186" s="1"/>
  <c r="P24" i="186"/>
  <c r="P25" i="186" s="1"/>
  <c r="O2" i="189"/>
  <c r="O2" i="187"/>
  <c r="O2" i="193"/>
  <c r="P49" i="186"/>
  <c r="O2" i="190"/>
  <c r="O2" i="186"/>
  <c r="Q20" i="186"/>
  <c r="Q30" i="186" s="1"/>
  <c r="N117" i="189"/>
  <c r="N118" i="189" s="1"/>
  <c r="N126" i="189" s="1"/>
  <c r="M85" i="186"/>
  <c r="N258" i="119"/>
  <c r="N269" i="119"/>
  <c r="N98" i="186"/>
  <c r="N62" i="186"/>
  <c r="N235" i="119"/>
  <c r="N55" i="186"/>
  <c r="N75" i="186"/>
  <c r="O76" i="186" s="1"/>
  <c r="O98" i="186" s="1"/>
  <c r="N277" i="119"/>
  <c r="N252" i="119"/>
  <c r="N253" i="119" s="1"/>
  <c r="N261" i="119" s="1"/>
  <c r="N134" i="189"/>
  <c r="N229" i="119"/>
  <c r="N230" i="119" s="1"/>
  <c r="N238" i="119" s="1"/>
  <c r="K234" i="119"/>
  <c r="L236" i="119" s="1"/>
  <c r="L239" i="119" s="1"/>
  <c r="L240" i="119" s="1"/>
  <c r="L282" i="119" s="1"/>
  <c r="K268" i="119"/>
  <c r="K172" i="119"/>
  <c r="K186" i="119"/>
  <c r="K51" i="189"/>
  <c r="K27" i="119"/>
  <c r="K29" i="119" s="1"/>
  <c r="K31" i="119" s="1"/>
  <c r="K102" i="119"/>
  <c r="K65" i="119"/>
  <c r="K66" i="119" s="1"/>
  <c r="K69" i="119" s="1"/>
  <c r="K114" i="119"/>
  <c r="K50" i="119"/>
  <c r="K51" i="119" s="1"/>
  <c r="K54" i="119" s="1"/>
  <c r="K26" i="189"/>
  <c r="K27" i="189" s="1"/>
  <c r="K30" i="189" s="1"/>
  <c r="L63" i="186"/>
  <c r="R19" i="186"/>
  <c r="R126" i="186"/>
  <c r="R66" i="186"/>
  <c r="R96" i="186"/>
  <c r="S5" i="193"/>
  <c r="S5" i="119"/>
  <c r="S5" i="189"/>
  <c r="T10" i="186"/>
  <c r="T5" i="201" s="1"/>
  <c r="S5" i="188"/>
  <c r="S5" i="186"/>
  <c r="S5" i="187"/>
  <c r="S13" i="186"/>
  <c r="S14" i="186" s="1"/>
  <c r="S5" i="190"/>
  <c r="Q121" i="189"/>
  <c r="Q256" i="119"/>
  <c r="Q233" i="119"/>
  <c r="Q92" i="189"/>
  <c r="Q105" i="119"/>
  <c r="Q31" i="187"/>
  <c r="Q32" i="187" s="1"/>
  <c r="Q72" i="187" s="1"/>
  <c r="Q227" i="119"/>
  <c r="Q169" i="119"/>
  <c r="Q115" i="189"/>
  <c r="Q249" i="119"/>
  <c r="Q117" i="119"/>
  <c r="Q54" i="189"/>
  <c r="P42" i="187"/>
  <c r="P52" i="187"/>
  <c r="P62" i="187"/>
  <c r="R10" i="187"/>
  <c r="R14" i="187"/>
  <c r="M3" i="193" l="1"/>
  <c r="M3" i="187"/>
  <c r="N99" i="186"/>
  <c r="M3" i="186"/>
  <c r="M3" i="188"/>
  <c r="M3" i="190"/>
  <c r="L234" i="119"/>
  <c r="M236" i="119" s="1"/>
  <c r="M239" i="119" s="1"/>
  <c r="M240" i="119" s="1"/>
  <c r="M282" i="119" s="1"/>
  <c r="N109" i="186"/>
  <c r="N61" i="186"/>
  <c r="O252" i="119"/>
  <c r="O253" i="119" s="1"/>
  <c r="O261" i="119" s="1"/>
  <c r="N124" i="189"/>
  <c r="N127" i="189" s="1"/>
  <c r="N128" i="189" s="1"/>
  <c r="N139" i="189" s="1"/>
  <c r="M32" i="119"/>
  <c r="O4" i="186"/>
  <c r="O4" i="201"/>
  <c r="O134" i="189"/>
  <c r="O134" i="201"/>
  <c r="O117" i="201"/>
  <c r="O118" i="201" s="1"/>
  <c r="O126" i="201" s="1"/>
  <c r="O123" i="201"/>
  <c r="P2" i="119"/>
  <c r="P2" i="201"/>
  <c r="P2" i="189"/>
  <c r="K30" i="201"/>
  <c r="L26" i="201"/>
  <c r="L27" i="201" s="1"/>
  <c r="L30" i="201" s="1"/>
  <c r="L51" i="201"/>
  <c r="O20" i="119"/>
  <c r="O13" i="201"/>
  <c r="P2" i="190"/>
  <c r="N94" i="201"/>
  <c r="N95" i="201" s="1"/>
  <c r="N106" i="201" s="1"/>
  <c r="N82" i="201"/>
  <c r="N83" i="201" s="1"/>
  <c r="N85" i="201" s="1"/>
  <c r="N86" i="201" s="1"/>
  <c r="N107" i="201"/>
  <c r="M133" i="201"/>
  <c r="M122" i="201"/>
  <c r="N124" i="201" s="1"/>
  <c r="N127" i="201" s="1"/>
  <c r="N128" i="201" s="1"/>
  <c r="N139" i="201" s="1"/>
  <c r="M89" i="201"/>
  <c r="M90" i="201" s="1"/>
  <c r="M93" i="201" s="1"/>
  <c r="L37" i="201"/>
  <c r="M12" i="189"/>
  <c r="M14" i="189" s="1"/>
  <c r="M37" i="189" s="1"/>
  <c r="M14" i="201"/>
  <c r="L245" i="119"/>
  <c r="L246" i="119" s="1"/>
  <c r="L257" i="119" s="1"/>
  <c r="M259" i="119" s="1"/>
  <c r="M262" i="119" s="1"/>
  <c r="M263" i="119" s="1"/>
  <c r="M286" i="119" s="1"/>
  <c r="Q24" i="186"/>
  <c r="Q25" i="186" s="1"/>
  <c r="Q2" i="201" s="1"/>
  <c r="P2" i="188"/>
  <c r="P50" i="186"/>
  <c r="P51" i="186" s="1"/>
  <c r="O55" i="186"/>
  <c r="O123" i="189"/>
  <c r="O117" i="189"/>
  <c r="O118" i="189" s="1"/>
  <c r="O126" i="189" s="1"/>
  <c r="O269" i="119"/>
  <c r="P2" i="193"/>
  <c r="N27" i="187"/>
  <c r="N28" i="187" s="1"/>
  <c r="N32" i="119" s="1"/>
  <c r="N107" i="189"/>
  <c r="N184" i="119"/>
  <c r="N202" i="119"/>
  <c r="N209" i="119"/>
  <c r="N94" i="189"/>
  <c r="N171" i="119"/>
  <c r="M86" i="186"/>
  <c r="M188" i="119"/>
  <c r="M190" i="119" s="1"/>
  <c r="L192" i="119"/>
  <c r="L194" i="119" s="1"/>
  <c r="L208" i="119" s="1"/>
  <c r="L188" i="119"/>
  <c r="L190" i="119" s="1"/>
  <c r="L201" i="119" s="1"/>
  <c r="O90" i="186"/>
  <c r="O235" i="119"/>
  <c r="O277" i="119"/>
  <c r="O229" i="119"/>
  <c r="O230" i="119" s="1"/>
  <c r="O238" i="119" s="1"/>
  <c r="N43" i="187"/>
  <c r="N44" i="187" s="1"/>
  <c r="N12" i="119" s="1"/>
  <c r="N14" i="119" s="1"/>
  <c r="N87" i="119" s="1"/>
  <c r="N21" i="187"/>
  <c r="N82" i="189"/>
  <c r="N83" i="189" s="1"/>
  <c r="N85" i="189" s="1"/>
  <c r="N86" i="189" s="1"/>
  <c r="N122" i="189" s="1"/>
  <c r="N63" i="187"/>
  <c r="N64" i="187" s="1"/>
  <c r="N159" i="119"/>
  <c r="O258" i="119"/>
  <c r="O75" i="186"/>
  <c r="P76" i="186" s="1"/>
  <c r="P79" i="186" s="1"/>
  <c r="N84" i="186"/>
  <c r="N86" i="186" s="1"/>
  <c r="N53" i="187"/>
  <c r="N54" i="187" s="1"/>
  <c r="N19" i="119" s="1"/>
  <c r="N21" i="119" s="1"/>
  <c r="N76" i="119" s="1"/>
  <c r="O71" i="186"/>
  <c r="N72" i="186" s="1"/>
  <c r="N15" i="187" s="1"/>
  <c r="N16" i="187" s="1"/>
  <c r="O67" i="186"/>
  <c r="O68" i="186" s="1"/>
  <c r="O108" i="186" s="1"/>
  <c r="O13" i="189"/>
  <c r="M222" i="119"/>
  <c r="M224" i="119" s="1"/>
  <c r="M244" i="119"/>
  <c r="M166" i="119"/>
  <c r="M167" i="119" s="1"/>
  <c r="M170" i="119" s="1"/>
  <c r="O97" i="186"/>
  <c r="O99" i="186" s="1"/>
  <c r="O60" i="186"/>
  <c r="M133" i="189"/>
  <c r="M89" i="189"/>
  <c r="M90" i="189" s="1"/>
  <c r="M93" i="189" s="1"/>
  <c r="O13" i="119"/>
  <c r="O79" i="186"/>
  <c r="O80" i="186" s="1"/>
  <c r="O110" i="186" s="1"/>
  <c r="O4" i="119"/>
  <c r="O4" i="190"/>
  <c r="R20" i="186"/>
  <c r="R39" i="186" s="1"/>
  <c r="O4" i="189"/>
  <c r="O4" i="188"/>
  <c r="P2" i="187"/>
  <c r="P31" i="186"/>
  <c r="P32" i="186" s="1"/>
  <c r="P2" i="186"/>
  <c r="Q39" i="186"/>
  <c r="O4" i="193"/>
  <c r="O89" i="186"/>
  <c r="O37" i="119"/>
  <c r="Q49" i="186"/>
  <c r="P125" i="186"/>
  <c r="P127" i="186" s="1"/>
  <c r="P4" i="193" s="1"/>
  <c r="P40" i="186"/>
  <c r="P41" i="186" s="1"/>
  <c r="O4" i="187"/>
  <c r="N108" i="186"/>
  <c r="O56" i="186"/>
  <c r="O73" i="187" s="1"/>
  <c r="O74" i="187" s="1"/>
  <c r="O12" i="201" s="1"/>
  <c r="K193" i="119"/>
  <c r="K245" i="119"/>
  <c r="K246" i="119" s="1"/>
  <c r="K192" i="119"/>
  <c r="K188" i="119"/>
  <c r="K190" i="119" s="1"/>
  <c r="K201" i="119" s="1"/>
  <c r="L51" i="189"/>
  <c r="L65" i="119"/>
  <c r="L66" i="119" s="1"/>
  <c r="L69" i="119" s="1"/>
  <c r="L50" i="119"/>
  <c r="L51" i="119" s="1"/>
  <c r="L54" i="119" s="1"/>
  <c r="L26" i="189"/>
  <c r="L27" i="189" s="1"/>
  <c r="L30" i="189" s="1"/>
  <c r="L102" i="119"/>
  <c r="L114" i="119"/>
  <c r="L27" i="119"/>
  <c r="L29" i="119" s="1"/>
  <c r="L31" i="119" s="1"/>
  <c r="M63" i="186"/>
  <c r="N104" i="186"/>
  <c r="N105" i="186" s="1"/>
  <c r="N3" i="201" s="1"/>
  <c r="S66" i="186"/>
  <c r="S19" i="186"/>
  <c r="S96" i="186"/>
  <c r="S126" i="186"/>
  <c r="T5" i="186"/>
  <c r="T5" i="187"/>
  <c r="U10" i="186"/>
  <c r="U5" i="201" s="1"/>
  <c r="T5" i="190"/>
  <c r="T5" i="188"/>
  <c r="T5" i="119"/>
  <c r="T13" i="186"/>
  <c r="T14" i="186" s="1"/>
  <c r="T5" i="193"/>
  <c r="T5" i="189"/>
  <c r="M193" i="119"/>
  <c r="M194" i="119" s="1"/>
  <c r="M208" i="119" s="1"/>
  <c r="M245" i="119"/>
  <c r="S14" i="187"/>
  <c r="S10" i="187"/>
  <c r="Q62" i="187"/>
  <c r="Q52" i="187"/>
  <c r="Q42" i="187"/>
  <c r="R11" i="187"/>
  <c r="N111" i="186" l="1"/>
  <c r="P98" i="186"/>
  <c r="Q31" i="186"/>
  <c r="Q32" i="186" s="1"/>
  <c r="Q125" i="186"/>
  <c r="Q127" i="186" s="1"/>
  <c r="Q4" i="201" s="1"/>
  <c r="Q40" i="186"/>
  <c r="Q2" i="187"/>
  <c r="Q2" i="188"/>
  <c r="Q2" i="189"/>
  <c r="Q2" i="186"/>
  <c r="Q2" i="119"/>
  <c r="Q2" i="193"/>
  <c r="R54" i="201"/>
  <c r="R92" i="201"/>
  <c r="R115" i="201"/>
  <c r="R121" i="201"/>
  <c r="Q50" i="186"/>
  <c r="Q51" i="186" s="1"/>
  <c r="O82" i="201"/>
  <c r="O83" i="201" s="1"/>
  <c r="O85" i="201" s="1"/>
  <c r="O86" i="201" s="1"/>
  <c r="O94" i="201"/>
  <c r="O95" i="201" s="1"/>
  <c r="O106" i="201" s="1"/>
  <c r="O107" i="201"/>
  <c r="P55" i="186"/>
  <c r="P123" i="201"/>
  <c r="P134" i="201"/>
  <c r="P117" i="201"/>
  <c r="P118" i="201" s="1"/>
  <c r="P126" i="201" s="1"/>
  <c r="P229" i="119"/>
  <c r="P230" i="119" s="1"/>
  <c r="P238" i="119" s="1"/>
  <c r="P235" i="119"/>
  <c r="M51" i="201"/>
  <c r="M26" i="201"/>
  <c r="M27" i="201" s="1"/>
  <c r="M30" i="201" s="1"/>
  <c r="N133" i="201"/>
  <c r="N122" i="201"/>
  <c r="O124" i="201" s="1"/>
  <c r="O127" i="201" s="1"/>
  <c r="O128" i="201" s="1"/>
  <c r="O139" i="201" s="1"/>
  <c r="N89" i="201"/>
  <c r="N90" i="201" s="1"/>
  <c r="N93" i="201" s="1"/>
  <c r="P13" i="189"/>
  <c r="P13" i="201"/>
  <c r="Q2" i="190"/>
  <c r="P37" i="119"/>
  <c r="P4" i="201"/>
  <c r="M37" i="201"/>
  <c r="N12" i="189"/>
  <c r="N14" i="189" s="1"/>
  <c r="N37" i="189" s="1"/>
  <c r="N14" i="201"/>
  <c r="M246" i="119"/>
  <c r="M257" i="119" s="1"/>
  <c r="N259" i="119" s="1"/>
  <c r="N262" i="119" s="1"/>
  <c r="N263" i="119" s="1"/>
  <c r="N286" i="119" s="1"/>
  <c r="P4" i="188"/>
  <c r="P4" i="119"/>
  <c r="P258" i="119"/>
  <c r="P252" i="119"/>
  <c r="P253" i="119" s="1"/>
  <c r="P261" i="119" s="1"/>
  <c r="P117" i="189"/>
  <c r="P118" i="189" s="1"/>
  <c r="P126" i="189" s="1"/>
  <c r="P75" i="186"/>
  <c r="Q76" i="186" s="1"/>
  <c r="Q79" i="186" s="1"/>
  <c r="P62" i="186"/>
  <c r="P269" i="119"/>
  <c r="P277" i="119"/>
  <c r="P89" i="186"/>
  <c r="P4" i="187"/>
  <c r="O124" i="189"/>
  <c r="O127" i="189" s="1"/>
  <c r="O128" i="189" s="1"/>
  <c r="O139" i="189" s="1"/>
  <c r="P4" i="189"/>
  <c r="N217" i="119"/>
  <c r="P80" i="186"/>
  <c r="P110" i="186" s="1"/>
  <c r="P4" i="190"/>
  <c r="P4" i="186"/>
  <c r="P123" i="189"/>
  <c r="P134" i="189"/>
  <c r="O85" i="186"/>
  <c r="O27" i="187"/>
  <c r="O28" i="187" s="1"/>
  <c r="O32" i="119" s="1"/>
  <c r="O94" i="189"/>
  <c r="O171" i="119"/>
  <c r="O107" i="189"/>
  <c r="O184" i="119"/>
  <c r="O202" i="119"/>
  <c r="O209" i="119"/>
  <c r="N133" i="189"/>
  <c r="L276" i="119"/>
  <c r="N89" i="189"/>
  <c r="N90" i="189" s="1"/>
  <c r="N93" i="189" s="1"/>
  <c r="N160" i="119"/>
  <c r="N162" i="119" s="1"/>
  <c r="N163" i="119" s="1"/>
  <c r="P13" i="119"/>
  <c r="N95" i="189"/>
  <c r="N106" i="189" s="1"/>
  <c r="P67" i="186"/>
  <c r="P68" i="186" s="1"/>
  <c r="P108" i="186" s="1"/>
  <c r="M234" i="119"/>
  <c r="N236" i="119" s="1"/>
  <c r="N239" i="119" s="1"/>
  <c r="N240" i="119" s="1"/>
  <c r="N282" i="119" s="1"/>
  <c r="M268" i="119"/>
  <c r="R24" i="186"/>
  <c r="R25" i="186" s="1"/>
  <c r="R2" i="190" s="1"/>
  <c r="S20" i="186"/>
  <c r="S49" i="186" s="1"/>
  <c r="R49" i="186"/>
  <c r="O21" i="187"/>
  <c r="R30" i="186"/>
  <c r="Q41" i="186"/>
  <c r="P97" i="186"/>
  <c r="P99" i="186" s="1"/>
  <c r="P60" i="186"/>
  <c r="P54" i="186"/>
  <c r="P56" i="186" s="1"/>
  <c r="P73" i="187" s="1"/>
  <c r="P74" i="187" s="1"/>
  <c r="P12" i="201" s="1"/>
  <c r="P71" i="186"/>
  <c r="O72" i="186" s="1"/>
  <c r="O15" i="187" s="1"/>
  <c r="O16" i="187" s="1"/>
  <c r="P90" i="186"/>
  <c r="P20" i="119"/>
  <c r="O159" i="119"/>
  <c r="O160" i="119" s="1"/>
  <c r="O162" i="119" s="1"/>
  <c r="O163" i="119" s="1"/>
  <c r="O244" i="119" s="1"/>
  <c r="O82" i="189"/>
  <c r="O83" i="189" s="1"/>
  <c r="O85" i="189" s="1"/>
  <c r="O86" i="189" s="1"/>
  <c r="O122" i="189" s="1"/>
  <c r="O61" i="186"/>
  <c r="O43" i="187"/>
  <c r="O44" i="187" s="1"/>
  <c r="O12" i="119" s="1"/>
  <c r="O14" i="119" s="1"/>
  <c r="O87" i="119" s="1"/>
  <c r="O109" i="186"/>
  <c r="O111" i="186" s="1"/>
  <c r="O63" i="187"/>
  <c r="O64" i="187" s="1"/>
  <c r="O84" i="186"/>
  <c r="O53" i="187"/>
  <c r="O54" i="187" s="1"/>
  <c r="O19" i="119" s="1"/>
  <c r="O21" i="119" s="1"/>
  <c r="O76" i="119" s="1"/>
  <c r="M51" i="189"/>
  <c r="M65" i="119"/>
  <c r="M66" i="119" s="1"/>
  <c r="M69" i="119" s="1"/>
  <c r="M50" i="119"/>
  <c r="M51" i="119" s="1"/>
  <c r="M54" i="119" s="1"/>
  <c r="M26" i="189"/>
  <c r="M27" i="189" s="1"/>
  <c r="M30" i="189" s="1"/>
  <c r="M114" i="119"/>
  <c r="N63" i="186"/>
  <c r="M27" i="119"/>
  <c r="M29" i="119" s="1"/>
  <c r="M31" i="119" s="1"/>
  <c r="M102" i="119"/>
  <c r="K276" i="119"/>
  <c r="K257" i="119"/>
  <c r="L259" i="119" s="1"/>
  <c r="L262" i="119" s="1"/>
  <c r="L263" i="119" s="1"/>
  <c r="L286" i="119" s="1"/>
  <c r="K194" i="119"/>
  <c r="K208" i="119" s="1"/>
  <c r="T19" i="186"/>
  <c r="T96" i="186"/>
  <c r="T126" i="186"/>
  <c r="T66" i="186"/>
  <c r="U5" i="189"/>
  <c r="U5" i="119"/>
  <c r="V10" i="186"/>
  <c r="V5" i="201" s="1"/>
  <c r="U5" i="193"/>
  <c r="U5" i="187"/>
  <c r="U5" i="186"/>
  <c r="U5" i="188"/>
  <c r="U13" i="186"/>
  <c r="U14" i="186" s="1"/>
  <c r="U5" i="190"/>
  <c r="O104" i="186"/>
  <c r="O105" i="186" s="1"/>
  <c r="O3" i="201" s="1"/>
  <c r="N3" i="119"/>
  <c r="N3" i="188"/>
  <c r="N3" i="193"/>
  <c r="N3" i="187"/>
  <c r="N3" i="190"/>
  <c r="N3" i="189"/>
  <c r="N3" i="186"/>
  <c r="Q98" i="186"/>
  <c r="R256" i="119"/>
  <c r="R121" i="189"/>
  <c r="R233" i="119"/>
  <c r="M201" i="119"/>
  <c r="R105" i="119"/>
  <c r="R117" i="119"/>
  <c r="R54" i="189"/>
  <c r="R92" i="189"/>
  <c r="R249" i="119"/>
  <c r="R31" i="187"/>
  <c r="R32" i="187" s="1"/>
  <c r="R72" i="187" s="1"/>
  <c r="R227" i="119"/>
  <c r="R169" i="119"/>
  <c r="R115" i="189"/>
  <c r="S11" i="187"/>
  <c r="T14" i="187"/>
  <c r="T10" i="187"/>
  <c r="Q4" i="190" l="1"/>
  <c r="M276" i="119"/>
  <c r="Q235" i="119"/>
  <c r="Q269" i="119"/>
  <c r="Q4" i="193"/>
  <c r="Q37" i="119"/>
  <c r="Q4" i="188"/>
  <c r="Q4" i="187"/>
  <c r="Q4" i="189"/>
  <c r="Q89" i="186"/>
  <c r="Q4" i="119"/>
  <c r="Q4" i="186"/>
  <c r="Q80" i="186"/>
  <c r="Q110" i="186" s="1"/>
  <c r="P124" i="189"/>
  <c r="P127" i="189" s="1"/>
  <c r="P128" i="189" s="1"/>
  <c r="S92" i="201"/>
  <c r="S115" i="201"/>
  <c r="S121" i="201"/>
  <c r="S54" i="201"/>
  <c r="Q13" i="189"/>
  <c r="Q13" i="201"/>
  <c r="N26" i="201"/>
  <c r="N27" i="201" s="1"/>
  <c r="N51" i="201"/>
  <c r="Q55" i="186"/>
  <c r="Q123" i="201"/>
  <c r="Q134" i="201"/>
  <c r="Q117" i="201"/>
  <c r="Q118" i="201" s="1"/>
  <c r="Q126" i="201" s="1"/>
  <c r="Q97" i="186"/>
  <c r="Q99" i="186" s="1"/>
  <c r="P82" i="201"/>
  <c r="P107" i="201"/>
  <c r="P94" i="201"/>
  <c r="O217" i="119"/>
  <c r="R2" i="119"/>
  <c r="R2" i="201"/>
  <c r="O122" i="201"/>
  <c r="P124" i="201" s="1"/>
  <c r="P127" i="201" s="1"/>
  <c r="P128" i="201" s="1"/>
  <c r="P139" i="201" s="1"/>
  <c r="O89" i="201"/>
  <c r="O90" i="201" s="1"/>
  <c r="O93" i="201" s="1"/>
  <c r="O133" i="201"/>
  <c r="N37" i="201"/>
  <c r="O12" i="189"/>
  <c r="O14" i="189" s="1"/>
  <c r="O37" i="189" s="1"/>
  <c r="O14" i="201"/>
  <c r="O37" i="201" s="1"/>
  <c r="Q71" i="186"/>
  <c r="P72" i="186" s="1"/>
  <c r="P15" i="187" s="1"/>
  <c r="P16" i="187" s="1"/>
  <c r="Q13" i="119"/>
  <c r="Q60" i="186"/>
  <c r="R2" i="193"/>
  <c r="R125" i="186"/>
  <c r="R127" i="186" s="1"/>
  <c r="R4" i="201" s="1"/>
  <c r="R2" i="188"/>
  <c r="R2" i="189"/>
  <c r="R2" i="186"/>
  <c r="R31" i="186"/>
  <c r="R32" i="186" s="1"/>
  <c r="R50" i="186"/>
  <c r="R51" i="186" s="1"/>
  <c r="R277" i="119" s="1"/>
  <c r="R2" i="187"/>
  <c r="R40" i="186"/>
  <c r="R41" i="186" s="1"/>
  <c r="R67" i="186" s="1"/>
  <c r="P209" i="119"/>
  <c r="P94" i="189"/>
  <c r="P171" i="119"/>
  <c r="P107" i="189"/>
  <c r="P184" i="119"/>
  <c r="P202" i="119"/>
  <c r="O172" i="119"/>
  <c r="O192" i="119" s="1"/>
  <c r="S30" i="186"/>
  <c r="P85" i="186"/>
  <c r="N222" i="119"/>
  <c r="N224" i="119" s="1"/>
  <c r="N166" i="119"/>
  <c r="N167" i="119" s="1"/>
  <c r="N170" i="119" s="1"/>
  <c r="N244" i="119"/>
  <c r="Q62" i="186"/>
  <c r="Q20" i="119"/>
  <c r="Q67" i="186"/>
  <c r="Q68" i="186" s="1"/>
  <c r="Q85" i="186" s="1"/>
  <c r="Q134" i="189"/>
  <c r="Q90" i="186"/>
  <c r="Q54" i="186"/>
  <c r="Q56" i="186" s="1"/>
  <c r="Q123" i="189"/>
  <c r="Q252" i="119"/>
  <c r="Q253" i="119" s="1"/>
  <c r="Q261" i="119" s="1"/>
  <c r="N172" i="119"/>
  <c r="N186" i="119"/>
  <c r="O133" i="189"/>
  <c r="S39" i="186"/>
  <c r="S24" i="186"/>
  <c r="S25" i="186" s="1"/>
  <c r="S2" i="189" s="1"/>
  <c r="T20" i="186"/>
  <c r="T39" i="186" s="1"/>
  <c r="P27" i="187"/>
  <c r="P28" i="187" s="1"/>
  <c r="P61" i="186"/>
  <c r="Q277" i="119"/>
  <c r="Q229" i="119"/>
  <c r="Q230" i="119" s="1"/>
  <c r="Q238" i="119" s="1"/>
  <c r="Q258" i="119"/>
  <c r="O89" i="189"/>
  <c r="O90" i="189" s="1"/>
  <c r="O93" i="189" s="1"/>
  <c r="Q117" i="189"/>
  <c r="Q118" i="189" s="1"/>
  <c r="Q126" i="189" s="1"/>
  <c r="Q75" i="186"/>
  <c r="R76" i="186" s="1"/>
  <c r="R98" i="186" s="1"/>
  <c r="P21" i="187"/>
  <c r="P63" i="187"/>
  <c r="P64" i="187" s="1"/>
  <c r="P84" i="186"/>
  <c r="P43" i="187"/>
  <c r="P44" i="187" s="1"/>
  <c r="P12" i="119" s="1"/>
  <c r="P14" i="119" s="1"/>
  <c r="P87" i="119" s="1"/>
  <c r="P53" i="187"/>
  <c r="P54" i="187" s="1"/>
  <c r="P19" i="119" s="1"/>
  <c r="P21" i="119" s="1"/>
  <c r="P76" i="119" s="1"/>
  <c r="O166" i="119"/>
  <c r="O167" i="119" s="1"/>
  <c r="O170" i="119" s="1"/>
  <c r="P82" i="189"/>
  <c r="P109" i="186"/>
  <c r="P111" i="186" s="1"/>
  <c r="P159" i="119"/>
  <c r="O222" i="119"/>
  <c r="O224" i="119" s="1"/>
  <c r="O95" i="189"/>
  <c r="O106" i="189" s="1"/>
  <c r="O86" i="186"/>
  <c r="O186" i="119"/>
  <c r="O245" i="119" s="1"/>
  <c r="O246" i="119" s="1"/>
  <c r="N51" i="189"/>
  <c r="N50" i="119"/>
  <c r="N51" i="119" s="1"/>
  <c r="N54" i="119" s="1"/>
  <c r="N114" i="119"/>
  <c r="O63" i="186"/>
  <c r="N27" i="119"/>
  <c r="N29" i="119" s="1"/>
  <c r="N31" i="119" s="1"/>
  <c r="N102" i="119"/>
  <c r="N26" i="189"/>
  <c r="N27" i="189" s="1"/>
  <c r="N30" i="189" s="1"/>
  <c r="N65" i="119"/>
  <c r="N66" i="119" s="1"/>
  <c r="N69" i="119" s="1"/>
  <c r="U19" i="186"/>
  <c r="U96" i="186"/>
  <c r="U66" i="186"/>
  <c r="U126" i="186"/>
  <c r="P104" i="186"/>
  <c r="P105" i="186" s="1"/>
  <c r="P3" i="201" s="1"/>
  <c r="V5" i="193"/>
  <c r="V5" i="119"/>
  <c r="V5" i="188"/>
  <c r="V5" i="190"/>
  <c r="W10" i="186"/>
  <c r="W5" i="201" s="1"/>
  <c r="V5" i="189"/>
  <c r="V5" i="186"/>
  <c r="V13" i="186"/>
  <c r="V14" i="186" s="1"/>
  <c r="V5" i="187"/>
  <c r="R4" i="119"/>
  <c r="R4" i="187"/>
  <c r="R4" i="186"/>
  <c r="O3" i="190"/>
  <c r="O3" i="119"/>
  <c r="O3" i="186"/>
  <c r="O3" i="188"/>
  <c r="O3" i="193"/>
  <c r="O3" i="189"/>
  <c r="O3" i="187"/>
  <c r="S121" i="189"/>
  <c r="S233" i="119"/>
  <c r="S256" i="119"/>
  <c r="R52" i="187"/>
  <c r="R42" i="187"/>
  <c r="R62" i="187"/>
  <c r="U14" i="187"/>
  <c r="U10" i="187"/>
  <c r="T11" i="187"/>
  <c r="S105" i="119"/>
  <c r="S227" i="119"/>
  <c r="S115" i="189"/>
  <c r="S54" i="189"/>
  <c r="S31" i="187"/>
  <c r="S32" i="187" s="1"/>
  <c r="S72" i="187" s="1"/>
  <c r="S92" i="189"/>
  <c r="S169" i="119"/>
  <c r="S249" i="119"/>
  <c r="S117" i="119"/>
  <c r="R37" i="119" l="1"/>
  <c r="R89" i="186"/>
  <c r="R4" i="189"/>
  <c r="R4" i="190"/>
  <c r="R4" i="193"/>
  <c r="R4" i="188"/>
  <c r="R13" i="119"/>
  <c r="Q84" i="186"/>
  <c r="Q86" i="186" s="1"/>
  <c r="Q73" i="187"/>
  <c r="Q74" i="187" s="1"/>
  <c r="Q12" i="201" s="1"/>
  <c r="R252" i="119"/>
  <c r="R253" i="119" s="1"/>
  <c r="R261" i="119" s="1"/>
  <c r="R229" i="119"/>
  <c r="R230" i="119" s="1"/>
  <c r="R238" i="119" s="1"/>
  <c r="R269" i="119"/>
  <c r="R75" i="186"/>
  <c r="S76" i="186" s="1"/>
  <c r="S98" i="186" s="1"/>
  <c r="R117" i="189"/>
  <c r="R118" i="189" s="1"/>
  <c r="R126" i="189" s="1"/>
  <c r="T115" i="201"/>
  <c r="T121" i="201"/>
  <c r="T54" i="201"/>
  <c r="T92" i="201"/>
  <c r="R258" i="119"/>
  <c r="R55" i="186"/>
  <c r="R134" i="189"/>
  <c r="R62" i="186"/>
  <c r="R123" i="189"/>
  <c r="R235" i="119"/>
  <c r="Q82" i="201"/>
  <c r="Q107" i="201"/>
  <c r="Q94" i="201"/>
  <c r="S2" i="188"/>
  <c r="S2" i="201"/>
  <c r="O26" i="201"/>
  <c r="O27" i="201" s="1"/>
  <c r="O30" i="201" s="1"/>
  <c r="O51" i="201"/>
  <c r="R90" i="186"/>
  <c r="R13" i="201"/>
  <c r="N30" i="201"/>
  <c r="R123" i="201"/>
  <c r="R134" i="201"/>
  <c r="R117" i="201"/>
  <c r="R118" i="201" s="1"/>
  <c r="R126" i="201" s="1"/>
  <c r="P12" i="189"/>
  <c r="P14" i="189" s="1"/>
  <c r="P37" i="189" s="1"/>
  <c r="P14" i="201"/>
  <c r="R71" i="186"/>
  <c r="Q72" i="186" s="1"/>
  <c r="Q15" i="187" s="1"/>
  <c r="Q16" i="187" s="1"/>
  <c r="R20" i="119"/>
  <c r="R60" i="186"/>
  <c r="R97" i="186"/>
  <c r="R99" i="186" s="1"/>
  <c r="R13" i="189"/>
  <c r="R54" i="186"/>
  <c r="R56" i="186" s="1"/>
  <c r="R73" i="187" s="1"/>
  <c r="R74" i="187" s="1"/>
  <c r="R12" i="201" s="1"/>
  <c r="S50" i="186"/>
  <c r="S51" i="186" s="1"/>
  <c r="S229" i="119" s="1"/>
  <c r="S230" i="119" s="1"/>
  <c r="S238" i="119" s="1"/>
  <c r="O188" i="119"/>
  <c r="O190" i="119" s="1"/>
  <c r="O201" i="119" s="1"/>
  <c r="Q159" i="119"/>
  <c r="Q202" i="119"/>
  <c r="Q184" i="119"/>
  <c r="Q186" i="119" s="1"/>
  <c r="Q245" i="119" s="1"/>
  <c r="Q209" i="119"/>
  <c r="Q94" i="189"/>
  <c r="Q171" i="119"/>
  <c r="Q107" i="189"/>
  <c r="S31" i="186"/>
  <c r="S32" i="186" s="1"/>
  <c r="S2" i="190"/>
  <c r="S2" i="119"/>
  <c r="S2" i="186"/>
  <c r="S2" i="187"/>
  <c r="S40" i="186"/>
  <c r="S41" i="186" s="1"/>
  <c r="S13" i="201" s="1"/>
  <c r="P86" i="186"/>
  <c r="N268" i="119"/>
  <c r="N234" i="119"/>
  <c r="O236" i="119" s="1"/>
  <c r="O239" i="119" s="1"/>
  <c r="O240" i="119" s="1"/>
  <c r="O282" i="119" s="1"/>
  <c r="T30" i="186"/>
  <c r="R79" i="186"/>
  <c r="R80" i="186" s="1"/>
  <c r="R110" i="186" s="1"/>
  <c r="U20" i="186"/>
  <c r="U39" i="186" s="1"/>
  <c r="Q108" i="186"/>
  <c r="N193" i="119"/>
  <c r="N245" i="119"/>
  <c r="N246" i="119" s="1"/>
  <c r="N192" i="119"/>
  <c r="N188" i="119"/>
  <c r="N190" i="119" s="1"/>
  <c r="N201" i="119" s="1"/>
  <c r="S2" i="193"/>
  <c r="S125" i="186"/>
  <c r="S127" i="186" s="1"/>
  <c r="R68" i="186"/>
  <c r="R108" i="186" s="1"/>
  <c r="T49" i="186"/>
  <c r="T24" i="186"/>
  <c r="T25" i="186" s="1"/>
  <c r="T2" i="186" s="1"/>
  <c r="O193" i="119"/>
  <c r="O194" i="119" s="1"/>
  <c r="O208" i="119" s="1"/>
  <c r="P63" i="186"/>
  <c r="P217" i="119"/>
  <c r="P32" i="119"/>
  <c r="P186" i="119"/>
  <c r="Q27" i="187"/>
  <c r="Q28" i="187" s="1"/>
  <c r="Q43" i="187"/>
  <c r="Q44" i="187" s="1"/>
  <c r="Q12" i="119" s="1"/>
  <c r="Q14" i="119" s="1"/>
  <c r="Q87" i="119" s="1"/>
  <c r="Q109" i="186"/>
  <c r="Q63" i="187"/>
  <c r="Q64" i="187" s="1"/>
  <c r="Q61" i="186"/>
  <c r="Q21" i="187"/>
  <c r="Q82" i="189"/>
  <c r="Q53" i="187"/>
  <c r="Q54" i="187" s="1"/>
  <c r="Q19" i="119" s="1"/>
  <c r="Q21" i="119" s="1"/>
  <c r="Q76" i="119" s="1"/>
  <c r="O234" i="119"/>
  <c r="P236" i="119" s="1"/>
  <c r="P239" i="119" s="1"/>
  <c r="P240" i="119" s="1"/>
  <c r="O268" i="119"/>
  <c r="O51" i="189"/>
  <c r="O114" i="119"/>
  <c r="O27" i="119"/>
  <c r="O29" i="119" s="1"/>
  <c r="O31" i="119" s="1"/>
  <c r="O102" i="119"/>
  <c r="O65" i="119"/>
  <c r="O66" i="119" s="1"/>
  <c r="O69" i="119" s="1"/>
  <c r="O50" i="119"/>
  <c r="O51" i="119" s="1"/>
  <c r="O54" i="119" s="1"/>
  <c r="O26" i="189"/>
  <c r="O27" i="189" s="1"/>
  <c r="O30" i="189" s="1"/>
  <c r="Q104" i="186"/>
  <c r="Q105" i="186" s="1"/>
  <c r="Q3" i="201" s="1"/>
  <c r="W5" i="193"/>
  <c r="W5" i="188"/>
  <c r="W5" i="119"/>
  <c r="W5" i="187"/>
  <c r="W5" i="189"/>
  <c r="W5" i="190"/>
  <c r="W5" i="186"/>
  <c r="W13" i="186"/>
  <c r="W14" i="186" s="1"/>
  <c r="F11" i="186"/>
  <c r="F114" i="186" s="1"/>
  <c r="V19" i="186"/>
  <c r="V96" i="186"/>
  <c r="V66" i="186"/>
  <c r="V126" i="186"/>
  <c r="P3" i="119"/>
  <c r="P3" i="193"/>
  <c r="P3" i="190"/>
  <c r="P3" i="188"/>
  <c r="P3" i="187"/>
  <c r="P3" i="189"/>
  <c r="P3" i="186"/>
  <c r="T121" i="189"/>
  <c r="T233" i="119"/>
  <c r="T256" i="119"/>
  <c r="O257" i="119"/>
  <c r="P259" i="119" s="1"/>
  <c r="P262" i="119" s="1"/>
  <c r="P263" i="119" s="1"/>
  <c r="P286" i="119" s="1"/>
  <c r="O276" i="119"/>
  <c r="T92" i="189"/>
  <c r="T227" i="119"/>
  <c r="T105" i="119"/>
  <c r="T249" i="119"/>
  <c r="T54" i="189"/>
  <c r="T31" i="187"/>
  <c r="T32" i="187" s="1"/>
  <c r="T72" i="187" s="1"/>
  <c r="T169" i="119"/>
  <c r="T117" i="119"/>
  <c r="T115" i="189"/>
  <c r="U11" i="187"/>
  <c r="S52" i="187"/>
  <c r="S62" i="187"/>
  <c r="S42" i="187"/>
  <c r="V14" i="187"/>
  <c r="V10" i="187"/>
  <c r="V11" i="187" s="1"/>
  <c r="S20" i="119" l="1"/>
  <c r="S71" i="186"/>
  <c r="R72" i="186" s="1"/>
  <c r="R15" i="187" s="1"/>
  <c r="R16" i="187" s="1"/>
  <c r="U49" i="186"/>
  <c r="S54" i="186"/>
  <c r="S56" i="186" s="1"/>
  <c r="S90" i="186"/>
  <c r="S67" i="186"/>
  <c r="S68" i="186" s="1"/>
  <c r="S85" i="186" s="1"/>
  <c r="S79" i="186"/>
  <c r="S80" i="186" s="1"/>
  <c r="S110" i="186" s="1"/>
  <c r="S97" i="186"/>
  <c r="S99" i="186" s="1"/>
  <c r="S13" i="189"/>
  <c r="S60" i="186"/>
  <c r="S75" i="186"/>
  <c r="T76" i="186" s="1"/>
  <c r="T79" i="186" s="1"/>
  <c r="T50" i="186"/>
  <c r="T51" i="186" s="1"/>
  <c r="T123" i="189" s="1"/>
  <c r="S269" i="119"/>
  <c r="S258" i="119"/>
  <c r="S13" i="119"/>
  <c r="S117" i="189"/>
  <c r="S118" i="189" s="1"/>
  <c r="S126" i="189" s="1"/>
  <c r="U115" i="201"/>
  <c r="U121" i="201"/>
  <c r="U54" i="201"/>
  <c r="U92" i="201"/>
  <c r="V121" i="201"/>
  <c r="V54" i="201"/>
  <c r="V92" i="201"/>
  <c r="V115" i="201"/>
  <c r="T2" i="188"/>
  <c r="S4" i="190"/>
  <c r="S4" i="201"/>
  <c r="P26" i="201"/>
  <c r="P27" i="201" s="1"/>
  <c r="P30" i="201" s="1"/>
  <c r="P51" i="201"/>
  <c r="R109" i="186"/>
  <c r="R111" i="186" s="1"/>
  <c r="R107" i="201"/>
  <c r="R94" i="201"/>
  <c r="R82" i="201"/>
  <c r="S55" i="186"/>
  <c r="S123" i="201"/>
  <c r="S134" i="201"/>
  <c r="S117" i="201"/>
  <c r="S118" i="201" s="1"/>
  <c r="S126" i="201" s="1"/>
  <c r="Q111" i="186"/>
  <c r="T2" i="187"/>
  <c r="T2" i="201"/>
  <c r="Q12" i="189"/>
  <c r="Q14" i="189" s="1"/>
  <c r="Q37" i="189" s="1"/>
  <c r="Q14" i="201"/>
  <c r="P37" i="201"/>
  <c r="S123" i="189"/>
  <c r="T125" i="186"/>
  <c r="T127" i="186" s="1"/>
  <c r="T4" i="201" s="1"/>
  <c r="S62" i="186"/>
  <c r="S235" i="119"/>
  <c r="S277" i="119"/>
  <c r="T2" i="189"/>
  <c r="T31" i="186"/>
  <c r="T32" i="186" s="1"/>
  <c r="S89" i="186"/>
  <c r="S134" i="189"/>
  <c r="S252" i="119"/>
  <c r="S253" i="119" s="1"/>
  <c r="S261" i="119" s="1"/>
  <c r="T2" i="193"/>
  <c r="T2" i="190"/>
  <c r="R82" i="189"/>
  <c r="R107" i="189"/>
  <c r="R184" i="119"/>
  <c r="R171" i="119"/>
  <c r="R202" i="119"/>
  <c r="R94" i="189"/>
  <c r="R209" i="119"/>
  <c r="Q193" i="119"/>
  <c r="R43" i="187"/>
  <c r="R44" i="187" s="1"/>
  <c r="R12" i="119" s="1"/>
  <c r="R14" i="119" s="1"/>
  <c r="R87" i="119" s="1"/>
  <c r="S4" i="187"/>
  <c r="R61" i="186"/>
  <c r="S37" i="119"/>
  <c r="S4" i="119"/>
  <c r="R63" i="187"/>
  <c r="R64" i="187" s="1"/>
  <c r="S4" i="188"/>
  <c r="U30" i="186"/>
  <c r="R21" i="187"/>
  <c r="V20" i="186"/>
  <c r="V39" i="186" s="1"/>
  <c r="R53" i="187"/>
  <c r="R54" i="187" s="1"/>
  <c r="R19" i="119" s="1"/>
  <c r="R21" i="119" s="1"/>
  <c r="R76" i="119" s="1"/>
  <c r="R27" i="187"/>
  <c r="R28" i="187" s="1"/>
  <c r="R32" i="119" s="1"/>
  <c r="S4" i="189"/>
  <c r="S4" i="186"/>
  <c r="U24" i="186"/>
  <c r="U25" i="186" s="1"/>
  <c r="R85" i="186"/>
  <c r="N257" i="119"/>
  <c r="O259" i="119" s="1"/>
  <c r="O262" i="119" s="1"/>
  <c r="O263" i="119" s="1"/>
  <c r="O286" i="119" s="1"/>
  <c r="N276" i="119"/>
  <c r="R84" i="186"/>
  <c r="R159" i="119"/>
  <c r="S4" i="193"/>
  <c r="N194" i="119"/>
  <c r="N208" i="119" s="1"/>
  <c r="T2" i="119"/>
  <c r="T40" i="186"/>
  <c r="T41" i="186" s="1"/>
  <c r="P51" i="189"/>
  <c r="P50" i="119"/>
  <c r="P51" i="119" s="1"/>
  <c r="P54" i="119" s="1"/>
  <c r="P65" i="119"/>
  <c r="P66" i="119" s="1"/>
  <c r="P69" i="119" s="1"/>
  <c r="P114" i="119"/>
  <c r="P102" i="119"/>
  <c r="P27" i="119"/>
  <c r="P29" i="119" s="1"/>
  <c r="P31" i="119" s="1"/>
  <c r="P26" i="189"/>
  <c r="P27" i="189" s="1"/>
  <c r="P30" i="189" s="1"/>
  <c r="P245" i="119"/>
  <c r="P193" i="119"/>
  <c r="Q63" i="186"/>
  <c r="Q32" i="119"/>
  <c r="Q217" i="119"/>
  <c r="R104" i="186"/>
  <c r="R105" i="186" s="1"/>
  <c r="R3" i="201" s="1"/>
  <c r="W19" i="186"/>
  <c r="W66" i="186"/>
  <c r="W126" i="186"/>
  <c r="W96" i="186"/>
  <c r="H14" i="186"/>
  <c r="Q3" i="119"/>
  <c r="Q3" i="193"/>
  <c r="Q3" i="188"/>
  <c r="Q3" i="190"/>
  <c r="Q3" i="187"/>
  <c r="Q3" i="189"/>
  <c r="Q3" i="186"/>
  <c r="U121" i="189"/>
  <c r="U256" i="119"/>
  <c r="U233" i="119"/>
  <c r="V256" i="119"/>
  <c r="V121" i="189"/>
  <c r="V233" i="119"/>
  <c r="U227" i="119"/>
  <c r="U92" i="189"/>
  <c r="U169" i="119"/>
  <c r="U31" i="187"/>
  <c r="U32" i="187" s="1"/>
  <c r="U72" i="187" s="1"/>
  <c r="U54" i="189"/>
  <c r="U105" i="119"/>
  <c r="U249" i="119"/>
  <c r="U115" i="189"/>
  <c r="U117" i="119"/>
  <c r="V227" i="119"/>
  <c r="V249" i="119"/>
  <c r="V54" i="189"/>
  <c r="V115" i="189"/>
  <c r="V169" i="119"/>
  <c r="V117" i="119"/>
  <c r="V31" i="187"/>
  <c r="V32" i="187" s="1"/>
  <c r="V72" i="187" s="1"/>
  <c r="V105" i="119"/>
  <c r="V92" i="189"/>
  <c r="T52" i="187"/>
  <c r="T42" i="187"/>
  <c r="T62" i="187"/>
  <c r="W10" i="187"/>
  <c r="W14" i="187"/>
  <c r="W16" i="187" s="1"/>
  <c r="H20" i="187"/>
  <c r="S184" i="119" l="1"/>
  <c r="S186" i="119" s="1"/>
  <c r="S82" i="189"/>
  <c r="S43" i="187"/>
  <c r="S44" i="187" s="1"/>
  <c r="S12" i="119" s="1"/>
  <c r="S14" i="119" s="1"/>
  <c r="S87" i="119" s="1"/>
  <c r="S61" i="186"/>
  <c r="S21" i="187"/>
  <c r="T98" i="186"/>
  <c r="S53" i="187"/>
  <c r="S54" i="187" s="1"/>
  <c r="S19" i="119" s="1"/>
  <c r="S21" i="119" s="1"/>
  <c r="S76" i="119" s="1"/>
  <c r="T4" i="186"/>
  <c r="T37" i="119"/>
  <c r="S94" i="201"/>
  <c r="T80" i="186"/>
  <c r="T110" i="186" s="1"/>
  <c r="S202" i="119"/>
  <c r="S73" i="187"/>
  <c r="S74" i="187" s="1"/>
  <c r="S12" i="201" s="1"/>
  <c r="T4" i="193"/>
  <c r="T4" i="189"/>
  <c r="T89" i="186"/>
  <c r="V49" i="186"/>
  <c r="W20" i="186"/>
  <c r="W24" i="186" s="1"/>
  <c r="W25" i="186" s="1"/>
  <c r="W2" i="201" s="1"/>
  <c r="T4" i="187"/>
  <c r="S209" i="119"/>
  <c r="T4" i="119"/>
  <c r="S109" i="186"/>
  <c r="S159" i="119"/>
  <c r="T4" i="188"/>
  <c r="S84" i="186"/>
  <c r="S86" i="186" s="1"/>
  <c r="S27" i="187"/>
  <c r="S28" i="187" s="1"/>
  <c r="S32" i="119" s="1"/>
  <c r="S94" i="189"/>
  <c r="T4" i="190"/>
  <c r="S63" i="187"/>
  <c r="S64" i="187" s="1"/>
  <c r="S12" i="189" s="1"/>
  <c r="S107" i="189"/>
  <c r="S82" i="201"/>
  <c r="V30" i="186"/>
  <c r="S171" i="119"/>
  <c r="S107" i="201"/>
  <c r="Q26" i="201"/>
  <c r="Q27" i="201" s="1"/>
  <c r="Q30" i="201" s="1"/>
  <c r="Q51" i="201"/>
  <c r="T13" i="189"/>
  <c r="T13" i="201"/>
  <c r="U2" i="186"/>
  <c r="U2" i="201"/>
  <c r="T277" i="119"/>
  <c r="T123" i="201"/>
  <c r="T134" i="201"/>
  <c r="T117" i="201"/>
  <c r="Q37" i="201"/>
  <c r="R12" i="189"/>
  <c r="R14" i="189" s="1"/>
  <c r="R37" i="189" s="1"/>
  <c r="R14" i="201"/>
  <c r="U2" i="187"/>
  <c r="T252" i="119"/>
  <c r="T235" i="119"/>
  <c r="T20" i="119"/>
  <c r="U2" i="189"/>
  <c r="T55" i="186"/>
  <c r="T258" i="119"/>
  <c r="T229" i="119"/>
  <c r="S108" i="186"/>
  <c r="V24" i="186"/>
  <c r="V25" i="186" s="1"/>
  <c r="V2" i="119" s="1"/>
  <c r="U2" i="119"/>
  <c r="U2" i="193"/>
  <c r="T117" i="189"/>
  <c r="T62" i="186"/>
  <c r="T75" i="186"/>
  <c r="U76" i="186" s="1"/>
  <c r="U98" i="186" s="1"/>
  <c r="U2" i="190"/>
  <c r="U2" i="188"/>
  <c r="T13" i="119"/>
  <c r="T134" i="189"/>
  <c r="T269" i="119"/>
  <c r="R86" i="186"/>
  <c r="T71" i="186"/>
  <c r="S72" i="186" s="1"/>
  <c r="S15" i="187" s="1"/>
  <c r="S16" i="187" s="1"/>
  <c r="R186" i="119"/>
  <c r="R245" i="119" s="1"/>
  <c r="R217" i="119"/>
  <c r="U125" i="186"/>
  <c r="U127" i="186" s="1"/>
  <c r="U31" i="186"/>
  <c r="U32" i="186" s="1"/>
  <c r="T54" i="186"/>
  <c r="T56" i="186" s="1"/>
  <c r="U50" i="186"/>
  <c r="U51" i="186" s="1"/>
  <c r="U62" i="186" s="1"/>
  <c r="U40" i="186"/>
  <c r="U41" i="186" s="1"/>
  <c r="U13" i="189" s="1"/>
  <c r="T90" i="186"/>
  <c r="T67" i="186"/>
  <c r="T68" i="186" s="1"/>
  <c r="T108" i="186" s="1"/>
  <c r="T60" i="186"/>
  <c r="T97" i="186"/>
  <c r="T99" i="186" s="1"/>
  <c r="Q51" i="189"/>
  <c r="Q27" i="119"/>
  <c r="Q29" i="119" s="1"/>
  <c r="Q31" i="119" s="1"/>
  <c r="Q114" i="119"/>
  <c r="Q65" i="119"/>
  <c r="Q66" i="119" s="1"/>
  <c r="Q69" i="119" s="1"/>
  <c r="Q26" i="189"/>
  <c r="Q27" i="189" s="1"/>
  <c r="Q30" i="189" s="1"/>
  <c r="Q102" i="119"/>
  <c r="Q50" i="119"/>
  <c r="Q51" i="119" s="1"/>
  <c r="Q54" i="119" s="1"/>
  <c r="R63" i="186"/>
  <c r="H126" i="186"/>
  <c r="H19" i="186"/>
  <c r="H96" i="186"/>
  <c r="H66" i="186"/>
  <c r="S104" i="186"/>
  <c r="S105" i="186" s="1"/>
  <c r="S3" i="201" s="1"/>
  <c r="R3" i="190"/>
  <c r="R3" i="189"/>
  <c r="R3" i="186"/>
  <c r="R3" i="188"/>
  <c r="R3" i="193"/>
  <c r="R3" i="187"/>
  <c r="R3" i="119"/>
  <c r="H14" i="187"/>
  <c r="H10" i="187"/>
  <c r="W11" i="187"/>
  <c r="V52" i="187"/>
  <c r="V62" i="187"/>
  <c r="V42" i="187"/>
  <c r="U42" i="187"/>
  <c r="U62" i="187"/>
  <c r="U52" i="187"/>
  <c r="W39" i="186" l="1"/>
  <c r="W30" i="186"/>
  <c r="U229" i="119"/>
  <c r="U230" i="119" s="1"/>
  <c r="U238" i="119" s="1"/>
  <c r="U252" i="119"/>
  <c r="U253" i="119" s="1"/>
  <c r="U261" i="119" s="1"/>
  <c r="U117" i="189"/>
  <c r="U118" i="189" s="1"/>
  <c r="U126" i="189" s="1"/>
  <c r="W49" i="186"/>
  <c r="U277" i="119"/>
  <c r="U258" i="119"/>
  <c r="U55" i="186"/>
  <c r="U235" i="119"/>
  <c r="U269" i="119"/>
  <c r="U79" i="186"/>
  <c r="U80" i="186" s="1"/>
  <c r="U110" i="186" s="1"/>
  <c r="U123" i="189"/>
  <c r="U134" i="189"/>
  <c r="T61" i="186"/>
  <c r="T73" i="187"/>
  <c r="T74" i="187" s="1"/>
  <c r="T12" i="201" s="1"/>
  <c r="S217" i="119"/>
  <c r="S14" i="189"/>
  <c r="S37" i="189" s="1"/>
  <c r="S111" i="186"/>
  <c r="U75" i="186"/>
  <c r="V76" i="186" s="1"/>
  <c r="V79" i="186" s="1"/>
  <c r="V2" i="190"/>
  <c r="V2" i="186"/>
  <c r="W121" i="201"/>
  <c r="W54" i="201"/>
  <c r="W92" i="201"/>
  <c r="W115" i="201"/>
  <c r="U97" i="186"/>
  <c r="U99" i="186" s="1"/>
  <c r="U13" i="201"/>
  <c r="V2" i="187"/>
  <c r="V2" i="201"/>
  <c r="U134" i="201"/>
  <c r="U117" i="201"/>
  <c r="U118" i="201" s="1"/>
  <c r="U126" i="201" s="1"/>
  <c r="U123" i="201"/>
  <c r="V2" i="193"/>
  <c r="T53" i="187"/>
  <c r="T54" i="187" s="1"/>
  <c r="T19" i="119" s="1"/>
  <c r="T21" i="119" s="1"/>
  <c r="T76" i="119" s="1"/>
  <c r="T107" i="201"/>
  <c r="T94" i="201"/>
  <c r="T82" i="201"/>
  <c r="V50" i="186"/>
  <c r="V51" i="186" s="1"/>
  <c r="V123" i="189" s="1"/>
  <c r="U54" i="186"/>
  <c r="U56" i="186" s="1"/>
  <c r="S63" i="186"/>
  <c r="S102" i="119" s="1"/>
  <c r="S103" i="119" s="1"/>
  <c r="S106" i="119" s="1"/>
  <c r="S107" i="119" s="1"/>
  <c r="S200" i="119" s="1"/>
  <c r="R26" i="201"/>
  <c r="R27" i="201" s="1"/>
  <c r="R30" i="201" s="1"/>
  <c r="R51" i="201"/>
  <c r="U4" i="189"/>
  <c r="U4" i="201"/>
  <c r="S14" i="201"/>
  <c r="R37" i="201"/>
  <c r="U4" i="186"/>
  <c r="U4" i="188"/>
  <c r="U89" i="186"/>
  <c r="U71" i="186"/>
  <c r="T72" i="186" s="1"/>
  <c r="T15" i="187" s="1"/>
  <c r="T16" i="187" s="1"/>
  <c r="U4" i="119"/>
  <c r="U37" i="119"/>
  <c r="R193" i="119"/>
  <c r="U20" i="119"/>
  <c r="U4" i="187"/>
  <c r="U4" i="193"/>
  <c r="V2" i="189"/>
  <c r="V31" i="186"/>
  <c r="V32" i="186" s="1"/>
  <c r="V2" i="188"/>
  <c r="U60" i="186"/>
  <c r="U4" i="190"/>
  <c r="V40" i="186"/>
  <c r="V41" i="186" s="1"/>
  <c r="V90" i="186" s="1"/>
  <c r="V125" i="186"/>
  <c r="V127" i="186" s="1"/>
  <c r="V4" i="201" s="1"/>
  <c r="T159" i="119"/>
  <c r="T209" i="119"/>
  <c r="T202" i="119"/>
  <c r="T94" i="189"/>
  <c r="T171" i="119"/>
  <c r="T107" i="189"/>
  <c r="T184" i="119"/>
  <c r="U67" i="186"/>
  <c r="U68" i="186" s="1"/>
  <c r="U108" i="186" s="1"/>
  <c r="U90" i="186"/>
  <c r="U13" i="119"/>
  <c r="T63" i="187"/>
  <c r="T64" i="187" s="1"/>
  <c r="T85" i="186"/>
  <c r="T84" i="186"/>
  <c r="T82" i="189"/>
  <c r="T27" i="187"/>
  <c r="T28" i="187" s="1"/>
  <c r="T217" i="119" s="1"/>
  <c r="T109" i="186"/>
  <c r="T111" i="186" s="1"/>
  <c r="T43" i="187"/>
  <c r="T44" i="187" s="1"/>
  <c r="T12" i="119" s="1"/>
  <c r="T14" i="119" s="1"/>
  <c r="T87" i="119" s="1"/>
  <c r="T21" i="187"/>
  <c r="R51" i="189"/>
  <c r="R27" i="119"/>
  <c r="R29" i="119" s="1"/>
  <c r="R31" i="119" s="1"/>
  <c r="R26" i="189"/>
  <c r="R27" i="189" s="1"/>
  <c r="R30" i="189" s="1"/>
  <c r="R65" i="119"/>
  <c r="R66" i="119" s="1"/>
  <c r="R69" i="119" s="1"/>
  <c r="R102" i="119"/>
  <c r="R50" i="119"/>
  <c r="R51" i="119" s="1"/>
  <c r="R54" i="119" s="1"/>
  <c r="R114" i="119"/>
  <c r="S3" i="186"/>
  <c r="S3" i="193"/>
  <c r="S3" i="190"/>
  <c r="S3" i="119"/>
  <c r="S3" i="188"/>
  <c r="S3" i="189"/>
  <c r="S3" i="187"/>
  <c r="W2" i="188"/>
  <c r="W2" i="119"/>
  <c r="W2" i="187"/>
  <c r="W50" i="186"/>
  <c r="W31" i="186"/>
  <c r="W32" i="186" s="1"/>
  <c r="W2" i="189"/>
  <c r="W2" i="193"/>
  <c r="W2" i="186"/>
  <c r="W125" i="186"/>
  <c r="W2" i="190"/>
  <c r="W40" i="186"/>
  <c r="S193" i="119"/>
  <c r="S245" i="119"/>
  <c r="T104" i="186"/>
  <c r="T105" i="186" s="1"/>
  <c r="T3" i="201" s="1"/>
  <c r="W121" i="189"/>
  <c r="W233" i="119"/>
  <c r="W256" i="119"/>
  <c r="W92" i="189"/>
  <c r="W31" i="187"/>
  <c r="W32" i="187" s="1"/>
  <c r="W72" i="187" s="1"/>
  <c r="W117" i="119"/>
  <c r="W54" i="189"/>
  <c r="W105" i="119"/>
  <c r="W115" i="189"/>
  <c r="W227" i="119"/>
  <c r="W249" i="119"/>
  <c r="W169" i="119"/>
  <c r="W51" i="186" l="1"/>
  <c r="W117" i="201" s="1"/>
  <c r="W118" i="201" s="1"/>
  <c r="W126" i="201" s="1"/>
  <c r="W41" i="186"/>
  <c r="W13" i="201" s="1"/>
  <c r="S114" i="119"/>
  <c r="S115" i="119" s="1"/>
  <c r="S118" i="119" s="1"/>
  <c r="S119" i="119" s="1"/>
  <c r="S207" i="119" s="1"/>
  <c r="V80" i="186"/>
  <c r="V110" i="186" s="1"/>
  <c r="V277" i="119"/>
  <c r="V117" i="189"/>
  <c r="V118" i="189" s="1"/>
  <c r="V126" i="189" s="1"/>
  <c r="T32" i="119"/>
  <c r="V62" i="186"/>
  <c r="S65" i="119"/>
  <c r="S66" i="119" s="1"/>
  <c r="S69" i="119" s="1"/>
  <c r="T63" i="186"/>
  <c r="T102" i="119" s="1"/>
  <c r="T103" i="119" s="1"/>
  <c r="T106" i="119" s="1"/>
  <c r="T107" i="119" s="1"/>
  <c r="T200" i="119" s="1"/>
  <c r="S51" i="189"/>
  <c r="S52" i="189" s="1"/>
  <c r="S27" i="119"/>
  <c r="S29" i="119" s="1"/>
  <c r="S31" i="119" s="1"/>
  <c r="S50" i="119"/>
  <c r="S51" i="119" s="1"/>
  <c r="S54" i="119" s="1"/>
  <c r="S26" i="189"/>
  <c r="S27" i="189" s="1"/>
  <c r="S30" i="189" s="1"/>
  <c r="V98" i="186"/>
  <c r="V235" i="119"/>
  <c r="V258" i="119"/>
  <c r="V269" i="119"/>
  <c r="U21" i="187"/>
  <c r="U73" i="187"/>
  <c r="U74" i="187" s="1"/>
  <c r="U12" i="201" s="1"/>
  <c r="V55" i="186"/>
  <c r="V75" i="186"/>
  <c r="W76" i="186" s="1"/>
  <c r="W98" i="186" s="1"/>
  <c r="V229" i="119"/>
  <c r="V230" i="119" s="1"/>
  <c r="V238" i="119" s="1"/>
  <c r="H32" i="186"/>
  <c r="V134" i="189"/>
  <c r="V67" i="186"/>
  <c r="V68" i="186" s="1"/>
  <c r="V4" i="187"/>
  <c r="V252" i="119"/>
  <c r="V253" i="119" s="1"/>
  <c r="V261" i="119" s="1"/>
  <c r="V4" i="193"/>
  <c r="V89" i="186"/>
  <c r="V4" i="189"/>
  <c r="W127" i="186"/>
  <c r="W4" i="201" s="1"/>
  <c r="V4" i="186"/>
  <c r="V4" i="190"/>
  <c r="V4" i="188"/>
  <c r="V37" i="119"/>
  <c r="V4" i="119"/>
  <c r="V13" i="189"/>
  <c r="S26" i="201"/>
  <c r="S27" i="201" s="1"/>
  <c r="S30" i="201" s="1"/>
  <c r="S51" i="201"/>
  <c r="S52" i="201" s="1"/>
  <c r="S55" i="201" s="1"/>
  <c r="S56" i="201" s="1"/>
  <c r="S105" i="201" s="1"/>
  <c r="V134" i="201"/>
  <c r="V117" i="201"/>
  <c r="V118" i="201" s="1"/>
  <c r="V126" i="201" s="1"/>
  <c r="V123" i="201"/>
  <c r="V71" i="186"/>
  <c r="U72" i="186" s="1"/>
  <c r="U15" i="187" s="1"/>
  <c r="U16" i="187" s="1"/>
  <c r="V13" i="201"/>
  <c r="V60" i="186"/>
  <c r="V97" i="186"/>
  <c r="U53" i="187"/>
  <c r="U54" i="187" s="1"/>
  <c r="U19" i="119" s="1"/>
  <c r="U21" i="119" s="1"/>
  <c r="U76" i="119" s="1"/>
  <c r="U94" i="201"/>
  <c r="U95" i="201" s="1"/>
  <c r="U106" i="201" s="1"/>
  <c r="U107" i="201"/>
  <c r="U82" i="201"/>
  <c r="U83" i="201" s="1"/>
  <c r="U85" i="201" s="1"/>
  <c r="U86" i="201" s="1"/>
  <c r="V20" i="119"/>
  <c r="V54" i="186"/>
  <c r="V56" i="186" s="1"/>
  <c r="V73" i="187" s="1"/>
  <c r="V74" i="187" s="1"/>
  <c r="V12" i="201" s="1"/>
  <c r="T12" i="189"/>
  <c r="T14" i="189" s="1"/>
  <c r="T37" i="189" s="1"/>
  <c r="T14" i="201"/>
  <c r="S37" i="201"/>
  <c r="V13" i="119"/>
  <c r="U63" i="187"/>
  <c r="U64" i="187" s="1"/>
  <c r="U27" i="187"/>
  <c r="U28" i="187" s="1"/>
  <c r="U32" i="119" s="1"/>
  <c r="U202" i="119"/>
  <c r="U209" i="119"/>
  <c r="U107" i="189"/>
  <c r="U184" i="119"/>
  <c r="U94" i="189"/>
  <c r="U95" i="189" s="1"/>
  <c r="U106" i="189" s="1"/>
  <c r="U171" i="119"/>
  <c r="U159" i="119"/>
  <c r="U160" i="119" s="1"/>
  <c r="U162" i="119" s="1"/>
  <c r="U163" i="119" s="1"/>
  <c r="U244" i="119" s="1"/>
  <c r="U109" i="186"/>
  <c r="U111" i="186" s="1"/>
  <c r="U61" i="186"/>
  <c r="U84" i="186"/>
  <c r="U43" i="187"/>
  <c r="U44" i="187" s="1"/>
  <c r="U12" i="119" s="1"/>
  <c r="U14" i="119" s="1"/>
  <c r="U87" i="119" s="1"/>
  <c r="U82" i="189"/>
  <c r="U83" i="189" s="1"/>
  <c r="U85" i="189" s="1"/>
  <c r="U86" i="189" s="1"/>
  <c r="U122" i="189" s="1"/>
  <c r="V124" i="189" s="1"/>
  <c r="V127" i="189" s="1"/>
  <c r="U85" i="186"/>
  <c r="T86" i="186"/>
  <c r="T3" i="193"/>
  <c r="T3" i="188"/>
  <c r="T3" i="190"/>
  <c r="T3" i="119"/>
  <c r="T3" i="187"/>
  <c r="T3" i="189"/>
  <c r="T3" i="186"/>
  <c r="U104" i="186"/>
  <c r="U105" i="186" s="1"/>
  <c r="U3" i="201" s="1"/>
  <c r="W52" i="187"/>
  <c r="W62" i="187"/>
  <c r="W42" i="187"/>
  <c r="W71" i="186" l="1"/>
  <c r="V72" i="186" s="1"/>
  <c r="H72" i="186" s="1"/>
  <c r="H15" i="187" s="1"/>
  <c r="W277" i="119"/>
  <c r="W75" i="186"/>
  <c r="W258" i="119"/>
  <c r="W123" i="201"/>
  <c r="H51" i="186"/>
  <c r="H55" i="186" s="1"/>
  <c r="W134" i="201"/>
  <c r="W235" i="119"/>
  <c r="W252" i="119"/>
  <c r="W253" i="119" s="1"/>
  <c r="W261" i="119" s="1"/>
  <c r="W55" i="186"/>
  <c r="W134" i="189"/>
  <c r="W117" i="189"/>
  <c r="W118" i="189" s="1"/>
  <c r="W126" i="189" s="1"/>
  <c r="W269" i="119"/>
  <c r="W229" i="119"/>
  <c r="W230" i="119" s="1"/>
  <c r="W238" i="119" s="1"/>
  <c r="W123" i="189"/>
  <c r="W62" i="186"/>
  <c r="V128" i="189"/>
  <c r="V139" i="189" s="1"/>
  <c r="W90" i="186"/>
  <c r="H41" i="186"/>
  <c r="H13" i="201" s="1"/>
  <c r="W60" i="186"/>
  <c r="W13" i="119"/>
  <c r="W79" i="186"/>
  <c r="W80" i="186" s="1"/>
  <c r="F81" i="186" s="1"/>
  <c r="F118" i="186" s="1"/>
  <c r="W67" i="186"/>
  <c r="W68" i="186" s="1"/>
  <c r="W20" i="119"/>
  <c r="H76" i="186"/>
  <c r="H79" i="186" s="1"/>
  <c r="W97" i="186"/>
  <c r="W54" i="186"/>
  <c r="W13" i="189"/>
  <c r="T65" i="119"/>
  <c r="T66" i="119" s="1"/>
  <c r="T69" i="119" s="1"/>
  <c r="T114" i="119"/>
  <c r="T115" i="119" s="1"/>
  <c r="T118" i="119" s="1"/>
  <c r="T119" i="119" s="1"/>
  <c r="T207" i="119" s="1"/>
  <c r="T51" i="189"/>
  <c r="T52" i="189" s="1"/>
  <c r="T51" i="201"/>
  <c r="T52" i="201" s="1"/>
  <c r="T55" i="201" s="1"/>
  <c r="T56" i="201" s="1"/>
  <c r="T105" i="201" s="1"/>
  <c r="T26" i="201"/>
  <c r="T27" i="201" s="1"/>
  <c r="T30" i="201" s="1"/>
  <c r="T26" i="189"/>
  <c r="T27" i="189" s="1"/>
  <c r="T30" i="189" s="1"/>
  <c r="T50" i="119"/>
  <c r="T51" i="119" s="1"/>
  <c r="T54" i="119" s="1"/>
  <c r="U63" i="186"/>
  <c r="U27" i="119" s="1"/>
  <c r="U29" i="119" s="1"/>
  <c r="U31" i="119" s="1"/>
  <c r="T27" i="119"/>
  <c r="T29" i="119" s="1"/>
  <c r="T31" i="119" s="1"/>
  <c r="W89" i="186"/>
  <c r="W4" i="189"/>
  <c r="W4" i="187"/>
  <c r="W37" i="119"/>
  <c r="J38" i="119" s="1"/>
  <c r="J89" i="119" s="1"/>
  <c r="W4" i="186"/>
  <c r="V99" i="186"/>
  <c r="V104" i="186" s="1"/>
  <c r="V105" i="186" s="1"/>
  <c r="V3" i="201" s="1"/>
  <c r="W4" i="119"/>
  <c r="W4" i="188"/>
  <c r="W4" i="190"/>
  <c r="W4" i="193"/>
  <c r="V85" i="186"/>
  <c r="V108" i="186"/>
  <c r="U222" i="119"/>
  <c r="U224" i="119" s="1"/>
  <c r="U234" i="119" s="1"/>
  <c r="V236" i="119" s="1"/>
  <c r="V239" i="119" s="1"/>
  <c r="V240" i="119" s="1"/>
  <c r="V282" i="119" s="1"/>
  <c r="V94" i="201"/>
  <c r="V82" i="201"/>
  <c r="V83" i="201" s="1"/>
  <c r="V85" i="201" s="1"/>
  <c r="V86" i="201" s="1"/>
  <c r="V107" i="201"/>
  <c r="V82" i="189"/>
  <c r="V83" i="189" s="1"/>
  <c r="V85" i="189" s="1"/>
  <c r="V86" i="189" s="1"/>
  <c r="V122" i="189" s="1"/>
  <c r="W124" i="189" s="1"/>
  <c r="W127" i="189" s="1"/>
  <c r="V21" i="187"/>
  <c r="V61" i="186"/>
  <c r="U133" i="201"/>
  <c r="U89" i="201"/>
  <c r="U90" i="201" s="1"/>
  <c r="U93" i="201" s="1"/>
  <c r="U122" i="201"/>
  <c r="V124" i="201" s="1"/>
  <c r="V127" i="201" s="1"/>
  <c r="V128" i="201" s="1"/>
  <c r="V139" i="201" s="1"/>
  <c r="U217" i="119"/>
  <c r="T37" i="201"/>
  <c r="U12" i="189"/>
  <c r="U14" i="189" s="1"/>
  <c r="U37" i="189" s="1"/>
  <c r="U14" i="201"/>
  <c r="U166" i="119"/>
  <c r="U167" i="119" s="1"/>
  <c r="U170" i="119" s="1"/>
  <c r="U86" i="186"/>
  <c r="V53" i="187"/>
  <c r="V54" i="187" s="1"/>
  <c r="V19" i="119" s="1"/>
  <c r="V21" i="119" s="1"/>
  <c r="V76" i="119" s="1"/>
  <c r="V107" i="189"/>
  <c r="V184" i="119"/>
  <c r="V202" i="119"/>
  <c r="V171" i="119"/>
  <c r="V209" i="119"/>
  <c r="V94" i="189"/>
  <c r="V63" i="187"/>
  <c r="V64" i="187" s="1"/>
  <c r="V27" i="187"/>
  <c r="V28" i="187" s="1"/>
  <c r="V32" i="119" s="1"/>
  <c r="U89" i="189"/>
  <c r="U90" i="189" s="1"/>
  <c r="U93" i="189" s="1"/>
  <c r="U172" i="119"/>
  <c r="V159" i="119"/>
  <c r="V160" i="119" s="1"/>
  <c r="V162" i="119" s="1"/>
  <c r="V163" i="119" s="1"/>
  <c r="V166" i="119" s="1"/>
  <c r="V167" i="119" s="1"/>
  <c r="V170" i="119" s="1"/>
  <c r="V109" i="186"/>
  <c r="U133" i="189"/>
  <c r="V43" i="187"/>
  <c r="V44" i="187" s="1"/>
  <c r="V12" i="119" s="1"/>
  <c r="V14" i="119" s="1"/>
  <c r="V87" i="119" s="1"/>
  <c r="W56" i="186"/>
  <c r="V84" i="186"/>
  <c r="T186" i="119"/>
  <c r="H13" i="189"/>
  <c r="H90" i="186"/>
  <c r="H97" i="186"/>
  <c r="H20" i="119"/>
  <c r="H71" i="186"/>
  <c r="H13" i="119"/>
  <c r="H67" i="186"/>
  <c r="U65" i="119"/>
  <c r="U66" i="119" s="1"/>
  <c r="U69" i="119" s="1"/>
  <c r="H258" i="119"/>
  <c r="H75" i="186"/>
  <c r="H229" i="119"/>
  <c r="U186" i="119"/>
  <c r="U3" i="119"/>
  <c r="U3" i="189"/>
  <c r="U3" i="190"/>
  <c r="U3" i="186"/>
  <c r="U3" i="187"/>
  <c r="U3" i="193"/>
  <c r="U3" i="188"/>
  <c r="V15" i="187"/>
  <c r="V16" i="187" s="1"/>
  <c r="N33" i="119"/>
  <c r="H123" i="201" l="1"/>
  <c r="W99" i="186"/>
  <c r="W104" i="186" s="1"/>
  <c r="W105" i="186" s="1"/>
  <c r="W3" i="201" s="1"/>
  <c r="H54" i="186"/>
  <c r="H60" i="186"/>
  <c r="H62" i="186"/>
  <c r="H98" i="186"/>
  <c r="H117" i="189"/>
  <c r="H117" i="201"/>
  <c r="H134" i="189"/>
  <c r="H252" i="119"/>
  <c r="H277" i="119"/>
  <c r="H134" i="201"/>
  <c r="H123" i="189"/>
  <c r="H235" i="119"/>
  <c r="U51" i="189"/>
  <c r="U50" i="119"/>
  <c r="U51" i="119" s="1"/>
  <c r="U54" i="119" s="1"/>
  <c r="H269" i="119"/>
  <c r="U26" i="201"/>
  <c r="U27" i="201" s="1"/>
  <c r="U30" i="201" s="1"/>
  <c r="W128" i="189"/>
  <c r="W139" i="189" s="1"/>
  <c r="U114" i="119"/>
  <c r="U102" i="119"/>
  <c r="U26" i="189"/>
  <c r="U27" i="189" s="1"/>
  <c r="U30" i="189" s="1"/>
  <c r="U51" i="201"/>
  <c r="V63" i="186"/>
  <c r="V26" i="201" s="1"/>
  <c r="V27" i="201" s="1"/>
  <c r="V30" i="201" s="1"/>
  <c r="T33" i="119"/>
  <c r="F91" i="186"/>
  <c r="W85" i="186"/>
  <c r="F69" i="186"/>
  <c r="F116" i="186" s="1"/>
  <c r="H68" i="186"/>
  <c r="H108" i="186" s="1"/>
  <c r="H80" i="186"/>
  <c r="H110" i="186" s="1"/>
  <c r="K38" i="119"/>
  <c r="K89" i="119" s="1"/>
  <c r="W108" i="186"/>
  <c r="W110" i="186"/>
  <c r="V111" i="186"/>
  <c r="W27" i="187"/>
  <c r="W28" i="187" s="1"/>
  <c r="W32" i="119" s="1"/>
  <c r="U33" i="119" s="1"/>
  <c r="W73" i="187"/>
  <c r="W74" i="187" s="1"/>
  <c r="W12" i="201" s="1"/>
  <c r="V217" i="119"/>
  <c r="V218" i="119" s="1"/>
  <c r="V251" i="119" s="1"/>
  <c r="U268" i="119"/>
  <c r="V133" i="189"/>
  <c r="V89" i="189"/>
  <c r="V90" i="189" s="1"/>
  <c r="V93" i="189" s="1"/>
  <c r="W84" i="186"/>
  <c r="W159" i="119"/>
  <c r="W160" i="119" s="1"/>
  <c r="W162" i="119" s="1"/>
  <c r="W163" i="119" s="1"/>
  <c r="W166" i="119" s="1"/>
  <c r="W167" i="119" s="1"/>
  <c r="W170" i="119" s="1"/>
  <c r="W82" i="201"/>
  <c r="W83" i="201" s="1"/>
  <c r="W85" i="201" s="1"/>
  <c r="W86" i="201" s="1"/>
  <c r="W94" i="201"/>
  <c r="W107" i="201"/>
  <c r="V122" i="201"/>
  <c r="W124" i="201" s="1"/>
  <c r="W127" i="201" s="1"/>
  <c r="W128" i="201" s="1"/>
  <c r="W139" i="201" s="1"/>
  <c r="V133" i="201"/>
  <c r="V89" i="201"/>
  <c r="V90" i="201" s="1"/>
  <c r="V93" i="201" s="1"/>
  <c r="U37" i="201"/>
  <c r="V12" i="189"/>
  <c r="V14" i="189" s="1"/>
  <c r="V37" i="189" s="1"/>
  <c r="V14" i="201"/>
  <c r="W94" i="189"/>
  <c r="W171" i="119"/>
  <c r="W107" i="189"/>
  <c r="W184" i="119"/>
  <c r="W186" i="119" s="1"/>
  <c r="W202" i="119"/>
  <c r="W209" i="119"/>
  <c r="W53" i="187"/>
  <c r="W54" i="187" s="1"/>
  <c r="W19" i="119" s="1"/>
  <c r="W21" i="119" s="1"/>
  <c r="W76" i="119" s="1"/>
  <c r="W43" i="187"/>
  <c r="W44" i="187" s="1"/>
  <c r="W12" i="119" s="1"/>
  <c r="W14" i="119" s="1"/>
  <c r="W63" i="187"/>
  <c r="W64" i="187" s="1"/>
  <c r="W82" i="189"/>
  <c r="W83" i="189" s="1"/>
  <c r="W85" i="189" s="1"/>
  <c r="W86" i="189" s="1"/>
  <c r="W89" i="189" s="1"/>
  <c r="W90" i="189" s="1"/>
  <c r="W93" i="189" s="1"/>
  <c r="H56" i="186"/>
  <c r="H73" i="187" s="1"/>
  <c r="W61" i="186"/>
  <c r="F57" i="186"/>
  <c r="F117" i="186" s="1"/>
  <c r="W109" i="186"/>
  <c r="W21" i="187"/>
  <c r="V244" i="119"/>
  <c r="V222" i="119"/>
  <c r="V224" i="119" s="1"/>
  <c r="V234" i="119" s="1"/>
  <c r="W236" i="119" s="1"/>
  <c r="W239" i="119" s="1"/>
  <c r="W240" i="119" s="1"/>
  <c r="W282" i="119" s="1"/>
  <c r="V186" i="119"/>
  <c r="V245" i="119" s="1"/>
  <c r="T245" i="119"/>
  <c r="T193" i="119"/>
  <c r="V86" i="186"/>
  <c r="U193" i="119"/>
  <c r="U245" i="119"/>
  <c r="U246" i="119" s="1"/>
  <c r="W3" i="119"/>
  <c r="W3" i="190"/>
  <c r="W3" i="188"/>
  <c r="W3" i="186"/>
  <c r="W3" i="189"/>
  <c r="W3" i="193"/>
  <c r="U192" i="119"/>
  <c r="U188" i="119"/>
  <c r="U190" i="119" s="1"/>
  <c r="U201" i="119" s="1"/>
  <c r="V3" i="186"/>
  <c r="V3" i="187"/>
  <c r="V3" i="188"/>
  <c r="V3" i="193"/>
  <c r="V3" i="119"/>
  <c r="V3" i="190"/>
  <c r="V3" i="189"/>
  <c r="F17" i="187"/>
  <c r="F19" i="187" s="1"/>
  <c r="H16" i="187"/>
  <c r="L218" i="119"/>
  <c r="L251" i="119" s="1"/>
  <c r="U218" i="119"/>
  <c r="U275" i="119" s="1"/>
  <c r="R218" i="119"/>
  <c r="R275" i="119" s="1"/>
  <c r="S218" i="119"/>
  <c r="S251" i="119" s="1"/>
  <c r="N218" i="119"/>
  <c r="N251" i="119" s="1"/>
  <c r="P218" i="119"/>
  <c r="P275" i="119" s="1"/>
  <c r="T218" i="119"/>
  <c r="T275" i="119" s="1"/>
  <c r="Q218" i="119"/>
  <c r="Q275" i="119" s="1"/>
  <c r="O218" i="119"/>
  <c r="O251" i="119" s="1"/>
  <c r="M218" i="119"/>
  <c r="M251" i="119" s="1"/>
  <c r="J218" i="119"/>
  <c r="J275" i="119" s="1"/>
  <c r="K218" i="119"/>
  <c r="K251" i="119" s="1"/>
  <c r="N36" i="119"/>
  <c r="P38" i="119" s="1"/>
  <c r="P89" i="119" s="1"/>
  <c r="R33" i="119"/>
  <c r="M33" i="119"/>
  <c r="J33" i="119"/>
  <c r="K33" i="119"/>
  <c r="Q33" i="119"/>
  <c r="S33" i="119"/>
  <c r="L33" i="119"/>
  <c r="L36" i="119" s="1"/>
  <c r="O33" i="119"/>
  <c r="P33" i="119"/>
  <c r="V50" i="119" l="1"/>
  <c r="V51" i="119" s="1"/>
  <c r="V54" i="119" s="1"/>
  <c r="V26" i="189"/>
  <c r="V27" i="189" s="1"/>
  <c r="W3" i="187"/>
  <c r="V65" i="119"/>
  <c r="V66" i="119" s="1"/>
  <c r="V69" i="119" s="1"/>
  <c r="W63" i="186"/>
  <c r="W50" i="119" s="1"/>
  <c r="W51" i="119" s="1"/>
  <c r="W54" i="119" s="1"/>
  <c r="V27" i="119"/>
  <c r="V29" i="119" s="1"/>
  <c r="V31" i="119" s="1"/>
  <c r="V36" i="119" s="1"/>
  <c r="V114" i="119"/>
  <c r="H85" i="186"/>
  <c r="V51" i="189"/>
  <c r="V102" i="119"/>
  <c r="V51" i="201"/>
  <c r="W86" i="186"/>
  <c r="H86" i="186" s="1"/>
  <c r="W222" i="119"/>
  <c r="W224" i="119" s="1"/>
  <c r="W234" i="119" s="1"/>
  <c r="W111" i="186"/>
  <c r="H111" i="186" s="1"/>
  <c r="H109" i="186"/>
  <c r="V193" i="119"/>
  <c r="V194" i="119" s="1"/>
  <c r="V208" i="119" s="1"/>
  <c r="W244" i="119"/>
  <c r="H43" i="187"/>
  <c r="W217" i="119"/>
  <c r="W218" i="119" s="1"/>
  <c r="W275" i="119" s="1"/>
  <c r="H61" i="186"/>
  <c r="H84" i="186"/>
  <c r="U251" i="119"/>
  <c r="T251" i="119"/>
  <c r="W122" i="201"/>
  <c r="W133" i="201"/>
  <c r="W89" i="201"/>
  <c r="W90" i="201" s="1"/>
  <c r="W93" i="201" s="1"/>
  <c r="H27" i="187"/>
  <c r="H82" i="201"/>
  <c r="H107" i="201"/>
  <c r="H94" i="201"/>
  <c r="V37" i="201"/>
  <c r="W12" i="189"/>
  <c r="W14" i="189" s="1"/>
  <c r="H14" i="189" s="1"/>
  <c r="H37" i="189" s="1"/>
  <c r="W14" i="201"/>
  <c r="W122" i="189"/>
  <c r="W133" i="189"/>
  <c r="H21" i="119"/>
  <c r="H76" i="119" s="1"/>
  <c r="H21" i="187"/>
  <c r="H159" i="119"/>
  <c r="H53" i="187"/>
  <c r="V246" i="119"/>
  <c r="V276" i="119" s="1"/>
  <c r="H63" i="187"/>
  <c r="H82" i="189"/>
  <c r="H14" i="119"/>
  <c r="H87" i="119" s="1"/>
  <c r="W87" i="119"/>
  <c r="H209" i="119"/>
  <c r="H202" i="119"/>
  <c r="H94" i="189"/>
  <c r="H171" i="119"/>
  <c r="H107" i="189"/>
  <c r="H184" i="119"/>
  <c r="V268" i="119"/>
  <c r="N38" i="119"/>
  <c r="N89" i="119" s="1"/>
  <c r="N275" i="119"/>
  <c r="K275" i="119"/>
  <c r="L275" i="119"/>
  <c r="R251" i="119"/>
  <c r="Q251" i="119"/>
  <c r="O275" i="119"/>
  <c r="S275" i="119"/>
  <c r="V275" i="119"/>
  <c r="M275" i="119"/>
  <c r="V30" i="189"/>
  <c r="S22" i="187"/>
  <c r="S29" i="201" s="1"/>
  <c r="S31" i="201" s="1"/>
  <c r="S38" i="201" s="1"/>
  <c r="R22" i="187"/>
  <c r="R29" i="201" s="1"/>
  <c r="R31" i="201" s="1"/>
  <c r="R38" i="201" s="1"/>
  <c r="U22" i="187"/>
  <c r="U29" i="201" s="1"/>
  <c r="U31" i="201" s="1"/>
  <c r="U38" i="201" s="1"/>
  <c r="L22" i="187"/>
  <c r="L29" i="201" s="1"/>
  <c r="L31" i="201" s="1"/>
  <c r="L38" i="201" s="1"/>
  <c r="J22" i="187"/>
  <c r="J29" i="201" s="1"/>
  <c r="J31" i="201" s="1"/>
  <c r="O22" i="187"/>
  <c r="O29" i="201" s="1"/>
  <c r="O31" i="201" s="1"/>
  <c r="O38" i="201" s="1"/>
  <c r="N22" i="187"/>
  <c r="N29" i="201" s="1"/>
  <c r="N31" i="201" s="1"/>
  <c r="N38" i="201" s="1"/>
  <c r="Q22" i="187"/>
  <c r="Q29" i="201" s="1"/>
  <c r="Q31" i="201" s="1"/>
  <c r="Q38" i="201" s="1"/>
  <c r="K22" i="187"/>
  <c r="K29" i="201" s="1"/>
  <c r="K31" i="201" s="1"/>
  <c r="K38" i="201" s="1"/>
  <c r="K40" i="201" s="1"/>
  <c r="M22" i="187"/>
  <c r="M29" i="201" s="1"/>
  <c r="M31" i="201" s="1"/>
  <c r="M38" i="201" s="1"/>
  <c r="W22" i="187"/>
  <c r="W29" i="201" s="1"/>
  <c r="V22" i="187"/>
  <c r="V29" i="201" s="1"/>
  <c r="V31" i="201" s="1"/>
  <c r="V38" i="201" s="1"/>
  <c r="T22" i="187"/>
  <c r="T29" i="201" s="1"/>
  <c r="T31" i="201" s="1"/>
  <c r="T38" i="201" s="1"/>
  <c r="P22" i="187"/>
  <c r="P29" i="201" s="1"/>
  <c r="P31" i="201" s="1"/>
  <c r="P38" i="201" s="1"/>
  <c r="U257" i="119"/>
  <c r="V259" i="119" s="1"/>
  <c r="V262" i="119" s="1"/>
  <c r="V263" i="119" s="1"/>
  <c r="V286" i="119" s="1"/>
  <c r="U276" i="119"/>
  <c r="P251" i="119"/>
  <c r="U194" i="119"/>
  <c r="U208" i="119" s="1"/>
  <c r="W193" i="119"/>
  <c r="W194" i="119" s="1"/>
  <c r="W208" i="119" s="1"/>
  <c r="W245" i="119"/>
  <c r="W51" i="189"/>
  <c r="W26" i="189"/>
  <c r="W27" i="189" s="1"/>
  <c r="W30" i="189" s="1"/>
  <c r="J251" i="119"/>
  <c r="O36" i="119"/>
  <c r="Q38" i="119" s="1"/>
  <c r="Q89" i="119" s="1"/>
  <c r="S36" i="119"/>
  <c r="U38" i="119" s="1"/>
  <c r="U89" i="119" s="1"/>
  <c r="K36" i="119"/>
  <c r="M38" i="119" s="1"/>
  <c r="M89" i="119" s="1"/>
  <c r="T36" i="119"/>
  <c r="V38" i="119" s="1"/>
  <c r="V89" i="119" s="1"/>
  <c r="U36" i="119"/>
  <c r="W38" i="119" s="1"/>
  <c r="W89" i="119" s="1"/>
  <c r="M36" i="119"/>
  <c r="O38" i="119" s="1"/>
  <c r="O89" i="119" s="1"/>
  <c r="J36" i="119"/>
  <c r="L38" i="119" s="1"/>
  <c r="L89" i="119" s="1"/>
  <c r="P36" i="119"/>
  <c r="R38" i="119" s="1"/>
  <c r="R89" i="119" s="1"/>
  <c r="Q36" i="119"/>
  <c r="S38" i="119" s="1"/>
  <c r="S89" i="119" s="1"/>
  <c r="R36" i="119"/>
  <c r="T38" i="119" s="1"/>
  <c r="T89" i="119" s="1"/>
  <c r="W65" i="119" l="1"/>
  <c r="W66" i="119" s="1"/>
  <c r="W69" i="119" s="1"/>
  <c r="W27" i="119"/>
  <c r="W29" i="119" s="1"/>
  <c r="W51" i="201"/>
  <c r="W26" i="201"/>
  <c r="W27" i="201" s="1"/>
  <c r="H27" i="201" s="1"/>
  <c r="H30" i="201" s="1"/>
  <c r="W102" i="119"/>
  <c r="W114" i="119"/>
  <c r="W246" i="119"/>
  <c r="W257" i="119" s="1"/>
  <c r="W268" i="119"/>
  <c r="F112" i="186"/>
  <c r="F115" i="186" s="1"/>
  <c r="F119" i="186" s="1"/>
  <c r="F16" i="193" s="1"/>
  <c r="F9" i="193" s="1"/>
  <c r="F2" i="189" s="1"/>
  <c r="H218" i="119"/>
  <c r="H251" i="119" s="1"/>
  <c r="W251" i="119"/>
  <c r="V257" i="119"/>
  <c r="W259" i="119" s="1"/>
  <c r="W262" i="119" s="1"/>
  <c r="W263" i="119" s="1"/>
  <c r="W286" i="119" s="1"/>
  <c r="W37" i="189"/>
  <c r="J38" i="201"/>
  <c r="J40" i="201" s="1"/>
  <c r="K63" i="201"/>
  <c r="K64" i="201" s="1"/>
  <c r="K42" i="201"/>
  <c r="K44" i="201" s="1"/>
  <c r="W37" i="201"/>
  <c r="H14" i="201"/>
  <c r="H37" i="201" s="1"/>
  <c r="W68" i="119"/>
  <c r="W53" i="119"/>
  <c r="W55" i="119" s="1"/>
  <c r="W77" i="119" s="1"/>
  <c r="W29" i="189"/>
  <c r="W31" i="189" s="1"/>
  <c r="W38" i="189" s="1"/>
  <c r="N53" i="119"/>
  <c r="N55" i="119" s="1"/>
  <c r="N77" i="119" s="1"/>
  <c r="N29" i="189"/>
  <c r="N31" i="189" s="1"/>
  <c r="N38" i="189" s="1"/>
  <c r="N68" i="119"/>
  <c r="N70" i="119" s="1"/>
  <c r="N88" i="119" s="1"/>
  <c r="U68" i="119"/>
  <c r="U70" i="119" s="1"/>
  <c r="U88" i="119" s="1"/>
  <c r="U29" i="189"/>
  <c r="U31" i="189" s="1"/>
  <c r="U38" i="189" s="1"/>
  <c r="U53" i="119"/>
  <c r="U55" i="119" s="1"/>
  <c r="U77" i="119" s="1"/>
  <c r="P68" i="119"/>
  <c r="P70" i="119" s="1"/>
  <c r="P88" i="119" s="1"/>
  <c r="P29" i="189"/>
  <c r="P31" i="189" s="1"/>
  <c r="P38" i="189" s="1"/>
  <c r="P53" i="119"/>
  <c r="P55" i="119" s="1"/>
  <c r="P77" i="119" s="1"/>
  <c r="M68" i="119"/>
  <c r="M70" i="119" s="1"/>
  <c r="M88" i="119" s="1"/>
  <c r="M29" i="189"/>
  <c r="M31" i="189" s="1"/>
  <c r="M38" i="189" s="1"/>
  <c r="M53" i="119"/>
  <c r="M55" i="119" s="1"/>
  <c r="M77" i="119" s="1"/>
  <c r="O68" i="119"/>
  <c r="O70" i="119" s="1"/>
  <c r="O88" i="119" s="1"/>
  <c r="O29" i="189"/>
  <c r="O31" i="189" s="1"/>
  <c r="O38" i="189" s="1"/>
  <c r="O53" i="119"/>
  <c r="O55" i="119" s="1"/>
  <c r="O77" i="119" s="1"/>
  <c r="R68" i="119"/>
  <c r="R70" i="119" s="1"/>
  <c r="R88" i="119" s="1"/>
  <c r="R29" i="189"/>
  <c r="R31" i="189" s="1"/>
  <c r="R38" i="189" s="1"/>
  <c r="R53" i="119"/>
  <c r="R55" i="119" s="1"/>
  <c r="R77" i="119" s="1"/>
  <c r="H29" i="119"/>
  <c r="H31" i="119" s="1"/>
  <c r="W31" i="119"/>
  <c r="T68" i="119"/>
  <c r="T70" i="119" s="1"/>
  <c r="T88" i="119" s="1"/>
  <c r="T29" i="189"/>
  <c r="T31" i="189" s="1"/>
  <c r="T38" i="189" s="1"/>
  <c r="T53" i="119"/>
  <c r="T55" i="119" s="1"/>
  <c r="T77" i="119" s="1"/>
  <c r="K68" i="119"/>
  <c r="K70" i="119" s="1"/>
  <c r="K88" i="119" s="1"/>
  <c r="K91" i="119" s="1"/>
  <c r="K132" i="119" s="1"/>
  <c r="K29" i="189"/>
  <c r="K31" i="189" s="1"/>
  <c r="K38" i="189" s="1"/>
  <c r="K40" i="189" s="1"/>
  <c r="K53" i="119"/>
  <c r="K55" i="119" s="1"/>
  <c r="K77" i="119" s="1"/>
  <c r="K79" i="119" s="1"/>
  <c r="J53" i="119"/>
  <c r="J55" i="119" s="1"/>
  <c r="J77" i="119" s="1"/>
  <c r="J79" i="119" s="1"/>
  <c r="J131" i="119" s="1"/>
  <c r="J29" i="189"/>
  <c r="J31" i="189" s="1"/>
  <c r="J38" i="189" s="1"/>
  <c r="J40" i="189" s="1"/>
  <c r="J63" i="189" s="1"/>
  <c r="J64" i="189" s="1"/>
  <c r="J68" i="119"/>
  <c r="J70" i="119" s="1"/>
  <c r="S29" i="189"/>
  <c r="S31" i="189" s="1"/>
  <c r="S38" i="189" s="1"/>
  <c r="S68" i="119"/>
  <c r="S70" i="119" s="1"/>
  <c r="S88" i="119" s="1"/>
  <c r="S53" i="119"/>
  <c r="S55" i="119" s="1"/>
  <c r="S77" i="119" s="1"/>
  <c r="V29" i="189"/>
  <c r="V31" i="189" s="1"/>
  <c r="V38" i="189" s="1"/>
  <c r="V53" i="119"/>
  <c r="V55" i="119" s="1"/>
  <c r="V77" i="119" s="1"/>
  <c r="V68" i="119"/>
  <c r="V70" i="119" s="1"/>
  <c r="V88" i="119" s="1"/>
  <c r="Q29" i="189"/>
  <c r="Q31" i="189" s="1"/>
  <c r="Q38" i="189" s="1"/>
  <c r="Q68" i="119"/>
  <c r="Q70" i="119" s="1"/>
  <c r="Q88" i="119" s="1"/>
  <c r="Q53" i="119"/>
  <c r="Q55" i="119" s="1"/>
  <c r="Q77" i="119" s="1"/>
  <c r="L68" i="119"/>
  <c r="L70" i="119" s="1"/>
  <c r="L88" i="119" s="1"/>
  <c r="L53" i="119"/>
  <c r="L55" i="119" s="1"/>
  <c r="L77" i="119" s="1"/>
  <c r="L29" i="189"/>
  <c r="L31" i="189" s="1"/>
  <c r="L38" i="189" s="1"/>
  <c r="H27" i="189"/>
  <c r="H30" i="189" s="1"/>
  <c r="H38" i="119"/>
  <c r="H89" i="119" s="1"/>
  <c r="W30" i="201" l="1"/>
  <c r="W31" i="201" s="1"/>
  <c r="W38" i="201" s="1"/>
  <c r="H66" i="119"/>
  <c r="H69" i="119" s="1"/>
  <c r="W276" i="119"/>
  <c r="F2" i="187"/>
  <c r="F2" i="190"/>
  <c r="F2" i="201"/>
  <c r="F2" i="119"/>
  <c r="F2" i="186"/>
  <c r="F2" i="193"/>
  <c r="C36" i="196" s="1"/>
  <c r="F2" i="188"/>
  <c r="H275" i="119"/>
  <c r="K80" i="201"/>
  <c r="K50" i="201"/>
  <c r="K52" i="201" s="1"/>
  <c r="K55" i="201" s="1"/>
  <c r="K56" i="201" s="1"/>
  <c r="K105" i="201" s="1"/>
  <c r="M108" i="201" s="1"/>
  <c r="M39" i="201" s="1"/>
  <c r="M40" i="201" s="1"/>
  <c r="K116" i="201"/>
  <c r="K132" i="201"/>
  <c r="K135" i="201" s="1"/>
  <c r="K140" i="201" s="1"/>
  <c r="K141" i="201" s="1"/>
  <c r="K15" i="190" s="1"/>
  <c r="K62" i="201"/>
  <c r="K100" i="201"/>
  <c r="K101" i="201" s="1"/>
  <c r="K72" i="201"/>
  <c r="K67" i="201"/>
  <c r="K68" i="201" s="1"/>
  <c r="K73" i="201" s="1"/>
  <c r="K74" i="201" s="1"/>
  <c r="K77" i="201" s="1"/>
  <c r="K78" i="201" s="1"/>
  <c r="K81" i="201" s="1"/>
  <c r="J42" i="201"/>
  <c r="J44" i="201" s="1"/>
  <c r="J63" i="201"/>
  <c r="J64" i="201" s="1"/>
  <c r="J81" i="119"/>
  <c r="J83" i="119" s="1"/>
  <c r="J101" i="119" s="1"/>
  <c r="J42" i="189"/>
  <c r="J44" i="189" s="1"/>
  <c r="J132" i="189" s="1"/>
  <c r="J135" i="189" s="1"/>
  <c r="K93" i="119"/>
  <c r="K95" i="119" s="1"/>
  <c r="J88" i="119"/>
  <c r="J91" i="119" s="1"/>
  <c r="K63" i="189"/>
  <c r="K64" i="189" s="1"/>
  <c r="K42" i="189"/>
  <c r="K44" i="189" s="1"/>
  <c r="H55" i="119"/>
  <c r="H77" i="119" s="1"/>
  <c r="H31" i="189"/>
  <c r="H38" i="189" s="1"/>
  <c r="K131" i="119"/>
  <c r="K133" i="119" s="1"/>
  <c r="K140" i="119" s="1"/>
  <c r="K141" i="119" s="1"/>
  <c r="K81" i="119"/>
  <c r="K83" i="119" s="1"/>
  <c r="K101" i="119" s="1"/>
  <c r="H33" i="119"/>
  <c r="H36" i="119" s="1"/>
  <c r="W36" i="119"/>
  <c r="W70" i="119"/>
  <c r="W88" i="119" s="1"/>
  <c r="J67" i="189"/>
  <c r="J68" i="189" s="1"/>
  <c r="J73" i="189" s="1"/>
  <c r="J74" i="189" s="1"/>
  <c r="J77" i="189" s="1"/>
  <c r="J78" i="189" s="1"/>
  <c r="J81" i="189" s="1"/>
  <c r="J100" i="189"/>
  <c r="J101" i="189" s="1"/>
  <c r="J72" i="189"/>
  <c r="H31" i="201" l="1"/>
  <c r="H38" i="201" s="1"/>
  <c r="J267" i="119"/>
  <c r="J270" i="119" s="1"/>
  <c r="M42" i="201"/>
  <c r="M44" i="201" s="1"/>
  <c r="M63" i="201"/>
  <c r="M64" i="201" s="1"/>
  <c r="J100" i="201"/>
  <c r="J101" i="201" s="1"/>
  <c r="J72" i="201"/>
  <c r="J67" i="201"/>
  <c r="J68" i="201" s="1"/>
  <c r="J73" i="201" s="1"/>
  <c r="J74" i="201" s="1"/>
  <c r="J77" i="201" s="1"/>
  <c r="J78" i="201" s="1"/>
  <c r="J81" i="201" s="1"/>
  <c r="J50" i="201"/>
  <c r="J116" i="201"/>
  <c r="J80" i="201"/>
  <c r="J62" i="201"/>
  <c r="J132" i="201"/>
  <c r="J135" i="201" s="1"/>
  <c r="J140" i="201" s="1"/>
  <c r="J141" i="201" s="1"/>
  <c r="J15" i="190" s="1"/>
  <c r="J116" i="189"/>
  <c r="J228" i="119"/>
  <c r="J62" i="189"/>
  <c r="J80" i="189"/>
  <c r="J125" i="119"/>
  <c r="J50" i="189"/>
  <c r="K250" i="119"/>
  <c r="K113" i="119"/>
  <c r="K274" i="119"/>
  <c r="K278" i="119" s="1"/>
  <c r="K126" i="119"/>
  <c r="K144" i="119"/>
  <c r="K145" i="119" s="1"/>
  <c r="K150" i="119" s="1"/>
  <c r="K151" i="119" s="1"/>
  <c r="K154" i="119" s="1"/>
  <c r="K155" i="119" s="1"/>
  <c r="K158" i="119" s="1"/>
  <c r="K149" i="119"/>
  <c r="K177" i="119"/>
  <c r="K178" i="119" s="1"/>
  <c r="H70" i="119"/>
  <c r="H88" i="119" s="1"/>
  <c r="J93" i="119"/>
  <c r="J95" i="119" s="1"/>
  <c r="J113" i="119" s="1"/>
  <c r="J132" i="119"/>
  <c r="J133" i="119" s="1"/>
  <c r="J140" i="119" s="1"/>
  <c r="J141" i="119" s="1"/>
  <c r="K100" i="189"/>
  <c r="K101" i="189" s="1"/>
  <c r="K72" i="189"/>
  <c r="K67" i="189"/>
  <c r="K68" i="189" s="1"/>
  <c r="K73" i="189" s="1"/>
  <c r="K74" i="189" s="1"/>
  <c r="K77" i="189" s="1"/>
  <c r="K78" i="189" s="1"/>
  <c r="K81" i="189" s="1"/>
  <c r="K228" i="119"/>
  <c r="K267" i="119"/>
  <c r="K270" i="119" s="1"/>
  <c r="K283" i="119" s="1"/>
  <c r="K284" i="119" s="1"/>
  <c r="K9" i="190" s="1"/>
  <c r="K125" i="119"/>
  <c r="K103" i="119" s="1"/>
  <c r="K106" i="119" s="1"/>
  <c r="K107" i="119" s="1"/>
  <c r="K200" i="119" s="1"/>
  <c r="M203" i="119" s="1"/>
  <c r="M78" i="119" s="1"/>
  <c r="M79" i="119" s="1"/>
  <c r="K80" i="189"/>
  <c r="K116" i="189"/>
  <c r="K62" i="189"/>
  <c r="K50" i="189"/>
  <c r="K52" i="189" s="1"/>
  <c r="K55" i="189" s="1"/>
  <c r="K56" i="189" s="1"/>
  <c r="K105" i="189" s="1"/>
  <c r="M108" i="189" s="1"/>
  <c r="M39" i="189" s="1"/>
  <c r="M40" i="189" s="1"/>
  <c r="M42" i="189" s="1"/>
  <c r="M44" i="189" s="1"/>
  <c r="M80" i="189" s="1"/>
  <c r="K132" i="189"/>
  <c r="K135" i="189" s="1"/>
  <c r="K140" i="189" s="1"/>
  <c r="K141" i="189" s="1"/>
  <c r="K13" i="190" s="1"/>
  <c r="J103" i="119"/>
  <c r="J106" i="119" s="1"/>
  <c r="J107" i="119" s="1"/>
  <c r="J140" i="189"/>
  <c r="J141" i="189" s="1"/>
  <c r="J84" i="201" l="1"/>
  <c r="J52" i="201"/>
  <c r="J55" i="201" s="1"/>
  <c r="J56" i="201" s="1"/>
  <c r="J105" i="201" s="1"/>
  <c r="L108" i="201" s="1"/>
  <c r="L39" i="201" s="1"/>
  <c r="L40" i="201" s="1"/>
  <c r="M100" i="201"/>
  <c r="M101" i="201" s="1"/>
  <c r="M67" i="201"/>
  <c r="M68" i="201" s="1"/>
  <c r="M73" i="201" s="1"/>
  <c r="M74" i="201" s="1"/>
  <c r="M77" i="201" s="1"/>
  <c r="M78" i="201" s="1"/>
  <c r="M81" i="201" s="1"/>
  <c r="M72" i="201"/>
  <c r="M116" i="201"/>
  <c r="M50" i="201"/>
  <c r="M52" i="201" s="1"/>
  <c r="M55" i="201" s="1"/>
  <c r="M56" i="201" s="1"/>
  <c r="M105" i="201" s="1"/>
  <c r="M62" i="201"/>
  <c r="M80" i="201"/>
  <c r="M132" i="201"/>
  <c r="M135" i="201" s="1"/>
  <c r="M140" i="201" s="1"/>
  <c r="M141" i="201" s="1"/>
  <c r="M15" i="190" s="1"/>
  <c r="J52" i="189"/>
  <c r="J55" i="189" s="1"/>
  <c r="J56" i="189" s="1"/>
  <c r="J105" i="189" s="1"/>
  <c r="L108" i="189" s="1"/>
  <c r="L39" i="189" s="1"/>
  <c r="L40" i="189" s="1"/>
  <c r="L63" i="189" s="1"/>
  <c r="L64" i="189" s="1"/>
  <c r="J84" i="189"/>
  <c r="K115" i="119"/>
  <c r="K118" i="119" s="1"/>
  <c r="K119" i="119" s="1"/>
  <c r="K207" i="119" s="1"/>
  <c r="M210" i="119" s="1"/>
  <c r="M90" i="119" s="1"/>
  <c r="M91" i="119" s="1"/>
  <c r="M93" i="119" s="1"/>
  <c r="M95" i="119" s="1"/>
  <c r="M113" i="119" s="1"/>
  <c r="M63" i="189"/>
  <c r="M64" i="189" s="1"/>
  <c r="M72" i="189" s="1"/>
  <c r="K127" i="119"/>
  <c r="K157" i="119" s="1"/>
  <c r="J144" i="119"/>
  <c r="J145" i="119" s="1"/>
  <c r="J150" i="119" s="1"/>
  <c r="J151" i="119" s="1"/>
  <c r="J154" i="119" s="1"/>
  <c r="J155" i="119" s="1"/>
  <c r="J158" i="119" s="1"/>
  <c r="J177" i="119"/>
  <c r="J178" i="119" s="1"/>
  <c r="J149" i="119"/>
  <c r="J250" i="119"/>
  <c r="J126" i="119"/>
  <c r="J274" i="119"/>
  <c r="J278" i="119" s="1"/>
  <c r="J287" i="119" s="1"/>
  <c r="J288" i="119" s="1"/>
  <c r="M116" i="189"/>
  <c r="M132" i="189"/>
  <c r="M135" i="189" s="1"/>
  <c r="M140" i="189" s="1"/>
  <c r="K287" i="119"/>
  <c r="J283" i="119"/>
  <c r="M50" i="189"/>
  <c r="M52" i="189" s="1"/>
  <c r="M55" i="189" s="1"/>
  <c r="M56" i="189" s="1"/>
  <c r="M105" i="189" s="1"/>
  <c r="O108" i="189" s="1"/>
  <c r="O39" i="189" s="1"/>
  <c r="O40" i="189" s="1"/>
  <c r="M62" i="189"/>
  <c r="J13" i="190"/>
  <c r="M81" i="119"/>
  <c r="M83" i="119" s="1"/>
  <c r="M101" i="119" s="1"/>
  <c r="M131" i="119"/>
  <c r="O108" i="201" l="1"/>
  <c r="O39" i="201" s="1"/>
  <c r="O40" i="201" s="1"/>
  <c r="L42" i="201"/>
  <c r="L44" i="201" s="1"/>
  <c r="L63" i="201"/>
  <c r="L64" i="201" s="1"/>
  <c r="L42" i="189"/>
  <c r="L44" i="189" s="1"/>
  <c r="L116" i="189" s="1"/>
  <c r="K139" i="119"/>
  <c r="M100" i="189"/>
  <c r="M101" i="189" s="1"/>
  <c r="M274" i="119"/>
  <c r="M278" i="119" s="1"/>
  <c r="M132" i="119"/>
  <c r="M133" i="119" s="1"/>
  <c r="M140" i="119" s="1"/>
  <c r="M141" i="119" s="1"/>
  <c r="M144" i="119" s="1"/>
  <c r="M145" i="119" s="1"/>
  <c r="M150" i="119" s="1"/>
  <c r="M151" i="119" s="1"/>
  <c r="M154" i="119" s="1"/>
  <c r="M155" i="119" s="1"/>
  <c r="M158" i="119" s="1"/>
  <c r="M250" i="119"/>
  <c r="M126" i="119"/>
  <c r="M115" i="119" s="1"/>
  <c r="M118" i="119" s="1"/>
  <c r="M119" i="119" s="1"/>
  <c r="M207" i="119" s="1"/>
  <c r="O210" i="119" s="1"/>
  <c r="O90" i="119" s="1"/>
  <c r="O91" i="119" s="1"/>
  <c r="M67" i="189"/>
  <c r="M68" i="189" s="1"/>
  <c r="M73" i="189" s="1"/>
  <c r="M74" i="189" s="1"/>
  <c r="M77" i="189" s="1"/>
  <c r="M78" i="189" s="1"/>
  <c r="M81" i="189" s="1"/>
  <c r="J115" i="119"/>
  <c r="J118" i="119" s="1"/>
  <c r="J119" i="119" s="1"/>
  <c r="J207" i="119" s="1"/>
  <c r="L210" i="119" s="1"/>
  <c r="L90" i="119" s="1"/>
  <c r="L91" i="119" s="1"/>
  <c r="J127" i="119"/>
  <c r="M141" i="189"/>
  <c r="M13" i="190" s="1"/>
  <c r="K288" i="119"/>
  <c r="K11" i="190" s="1"/>
  <c r="J11" i="190"/>
  <c r="J284" i="119"/>
  <c r="J9" i="190" s="1"/>
  <c r="O63" i="189"/>
  <c r="O64" i="189" s="1"/>
  <c r="O100" i="189" s="1"/>
  <c r="O101" i="189" s="1"/>
  <c r="O42" i="189"/>
  <c r="O44" i="189" s="1"/>
  <c r="O132" i="189" s="1"/>
  <c r="O135" i="189" s="1"/>
  <c r="L67" i="189"/>
  <c r="L68" i="189" s="1"/>
  <c r="L73" i="189" s="1"/>
  <c r="L74" i="189" s="1"/>
  <c r="L77" i="189" s="1"/>
  <c r="L78" i="189" s="1"/>
  <c r="L81" i="189" s="1"/>
  <c r="L100" i="189"/>
  <c r="L101" i="189" s="1"/>
  <c r="L72" i="189"/>
  <c r="M125" i="119"/>
  <c r="M267" i="119"/>
  <c r="M228" i="119"/>
  <c r="O63" i="201" l="1"/>
  <c r="O64" i="201" s="1"/>
  <c r="O100" i="201" s="1"/>
  <c r="O101" i="201" s="1"/>
  <c r="O42" i="201"/>
  <c r="O44" i="201" s="1"/>
  <c r="O50" i="201" s="1"/>
  <c r="O52" i="201" s="1"/>
  <c r="O55" i="201" s="1"/>
  <c r="O56" i="201" s="1"/>
  <c r="O105" i="201" s="1"/>
  <c r="Q108" i="201" s="1"/>
  <c r="Q39" i="201" s="1"/>
  <c r="Q40" i="201" s="1"/>
  <c r="L67" i="201"/>
  <c r="L68" i="201" s="1"/>
  <c r="L73" i="201" s="1"/>
  <c r="L74" i="201" s="1"/>
  <c r="L77" i="201" s="1"/>
  <c r="L78" i="201" s="1"/>
  <c r="L81" i="201" s="1"/>
  <c r="L72" i="201"/>
  <c r="L100" i="201"/>
  <c r="L101" i="201" s="1"/>
  <c r="L62" i="201"/>
  <c r="L132" i="201"/>
  <c r="L135" i="201" s="1"/>
  <c r="L140" i="201" s="1"/>
  <c r="L141" i="201" s="1"/>
  <c r="L15" i="190" s="1"/>
  <c r="L50" i="201"/>
  <c r="L52" i="201" s="1"/>
  <c r="L55" i="201" s="1"/>
  <c r="L56" i="201" s="1"/>
  <c r="L105" i="201" s="1"/>
  <c r="N108" i="201" s="1"/>
  <c r="N39" i="201" s="1"/>
  <c r="N40" i="201" s="1"/>
  <c r="L80" i="201"/>
  <c r="L116" i="201"/>
  <c r="L50" i="189"/>
  <c r="L52" i="189" s="1"/>
  <c r="L55" i="189" s="1"/>
  <c r="L56" i="189" s="1"/>
  <c r="L105" i="189" s="1"/>
  <c r="N108" i="189" s="1"/>
  <c r="N39" i="189" s="1"/>
  <c r="N40" i="189" s="1"/>
  <c r="L80" i="189"/>
  <c r="L62" i="189"/>
  <c r="L132" i="189"/>
  <c r="L135" i="189" s="1"/>
  <c r="L140" i="189" s="1"/>
  <c r="L141" i="189" s="1"/>
  <c r="L13" i="190" s="1"/>
  <c r="L93" i="119"/>
  <c r="L95" i="119" s="1"/>
  <c r="L113" i="119" s="1"/>
  <c r="L132" i="119"/>
  <c r="J157" i="119"/>
  <c r="J139" i="119"/>
  <c r="O140" i="189"/>
  <c r="O116" i="189"/>
  <c r="O80" i="189"/>
  <c r="M287" i="119"/>
  <c r="M288" i="119" s="1"/>
  <c r="M270" i="119"/>
  <c r="M283" i="119" s="1"/>
  <c r="M284" i="119" s="1"/>
  <c r="M9" i="190" s="1"/>
  <c r="M149" i="119"/>
  <c r="M177" i="119"/>
  <c r="M178" i="119" s="1"/>
  <c r="O62" i="189"/>
  <c r="O50" i="189"/>
  <c r="O52" i="189" s="1"/>
  <c r="O55" i="189" s="1"/>
  <c r="O56" i="189" s="1"/>
  <c r="O105" i="189" s="1"/>
  <c r="Q108" i="189" s="1"/>
  <c r="Q39" i="189" s="1"/>
  <c r="Q40" i="189" s="1"/>
  <c r="O72" i="189"/>
  <c r="O67" i="189"/>
  <c r="O68" i="189" s="1"/>
  <c r="O73" i="189" s="1"/>
  <c r="O74" i="189" s="1"/>
  <c r="O77" i="189" s="1"/>
  <c r="O78" i="189" s="1"/>
  <c r="O81" i="189" s="1"/>
  <c r="O93" i="119"/>
  <c r="O95" i="119" s="1"/>
  <c r="O113" i="119" s="1"/>
  <c r="O132" i="119"/>
  <c r="M127" i="119"/>
  <c r="M103" i="119"/>
  <c r="M106" i="119" s="1"/>
  <c r="M107" i="119" s="1"/>
  <c r="O116" i="201" l="1"/>
  <c r="O67" i="201"/>
  <c r="O68" i="201" s="1"/>
  <c r="O73" i="201" s="1"/>
  <c r="O74" i="201" s="1"/>
  <c r="O77" i="201" s="1"/>
  <c r="O78" i="201" s="1"/>
  <c r="O81" i="201" s="1"/>
  <c r="O72" i="201"/>
  <c r="O132" i="201"/>
  <c r="O135" i="201" s="1"/>
  <c r="O140" i="201" s="1"/>
  <c r="O141" i="201" s="1"/>
  <c r="O15" i="190" s="1"/>
  <c r="O62" i="201"/>
  <c r="O80" i="201"/>
  <c r="N42" i="201"/>
  <c r="N44" i="201" s="1"/>
  <c r="N63" i="201"/>
  <c r="N64" i="201" s="1"/>
  <c r="Q42" i="201"/>
  <c r="Q44" i="201" s="1"/>
  <c r="Q63" i="201"/>
  <c r="L126" i="119"/>
  <c r="L115" i="119" s="1"/>
  <c r="L118" i="119" s="1"/>
  <c r="L119" i="119" s="1"/>
  <c r="L207" i="119" s="1"/>
  <c r="N210" i="119" s="1"/>
  <c r="N90" i="119" s="1"/>
  <c r="N91" i="119" s="1"/>
  <c r="L250" i="119"/>
  <c r="L274" i="119"/>
  <c r="L278" i="119" s="1"/>
  <c r="L287" i="119" s="1"/>
  <c r="L288" i="119" s="1"/>
  <c r="O141" i="189"/>
  <c r="O13" i="190" s="1"/>
  <c r="M11" i="190"/>
  <c r="Q63" i="189"/>
  <c r="Q42" i="189"/>
  <c r="Q44" i="189" s="1"/>
  <c r="Q132" i="189" s="1"/>
  <c r="N63" i="189"/>
  <c r="N64" i="189" s="1"/>
  <c r="N42" i="189"/>
  <c r="N44" i="189" s="1"/>
  <c r="M139" i="119"/>
  <c r="M157" i="119"/>
  <c r="O274" i="119"/>
  <c r="O250" i="119"/>
  <c r="O126" i="119"/>
  <c r="O115" i="119" s="1"/>
  <c r="O118" i="119" s="1"/>
  <c r="O119" i="119" s="1"/>
  <c r="M200" i="119"/>
  <c r="O203" i="119" s="1"/>
  <c r="O78" i="119" s="1"/>
  <c r="O79" i="119" s="1"/>
  <c r="Q116" i="201" l="1"/>
  <c r="Q132" i="201"/>
  <c r="Q80" i="201"/>
  <c r="Q62" i="201"/>
  <c r="Q64" i="201" s="1"/>
  <c r="Q50" i="201"/>
  <c r="Q52" i="201" s="1"/>
  <c r="Q55" i="201" s="1"/>
  <c r="Q56" i="201" s="1"/>
  <c r="Q105" i="201" s="1"/>
  <c r="N72" i="201"/>
  <c r="N100" i="201"/>
  <c r="N101" i="201" s="1"/>
  <c r="N67" i="201"/>
  <c r="N68" i="201" s="1"/>
  <c r="N73" i="201" s="1"/>
  <c r="N74" i="201" s="1"/>
  <c r="N77" i="201" s="1"/>
  <c r="N78" i="201" s="1"/>
  <c r="N81" i="201" s="1"/>
  <c r="N80" i="201"/>
  <c r="N50" i="201"/>
  <c r="N52" i="201" s="1"/>
  <c r="N55" i="201" s="1"/>
  <c r="N56" i="201" s="1"/>
  <c r="N105" i="201" s="1"/>
  <c r="P108" i="201" s="1"/>
  <c r="P39" i="201" s="1"/>
  <c r="P40" i="201" s="1"/>
  <c r="N116" i="201"/>
  <c r="N132" i="201"/>
  <c r="N135" i="201" s="1"/>
  <c r="N140" i="201" s="1"/>
  <c r="N141" i="201" s="1"/>
  <c r="N15" i="190" s="1"/>
  <c r="N62" i="201"/>
  <c r="N93" i="119"/>
  <c r="N95" i="119" s="1"/>
  <c r="N113" i="119" s="1"/>
  <c r="N115" i="119" s="1"/>
  <c r="N132" i="119"/>
  <c r="N116" i="189"/>
  <c r="N132" i="189"/>
  <c r="N135" i="189" s="1"/>
  <c r="N140" i="189" s="1"/>
  <c r="Q50" i="189"/>
  <c r="Q52" i="189" s="1"/>
  <c r="Q55" i="189" s="1"/>
  <c r="Q56" i="189" s="1"/>
  <c r="Q105" i="189" s="1"/>
  <c r="Q116" i="189"/>
  <c r="Q80" i="189"/>
  <c r="Q62" i="189"/>
  <c r="Q64" i="189" s="1"/>
  <c r="Q67" i="189" s="1"/>
  <c r="Q68" i="189" s="1"/>
  <c r="Q73" i="189" s="1"/>
  <c r="N50" i="189"/>
  <c r="N52" i="189" s="1"/>
  <c r="N62" i="189"/>
  <c r="N80" i="189"/>
  <c r="N100" i="189"/>
  <c r="N101" i="189" s="1"/>
  <c r="N67" i="189"/>
  <c r="N68" i="189" s="1"/>
  <c r="N73" i="189" s="1"/>
  <c r="N74" i="189" s="1"/>
  <c r="N77" i="189" s="1"/>
  <c r="N78" i="189" s="1"/>
  <c r="N81" i="189" s="1"/>
  <c r="N72" i="189"/>
  <c r="O207" i="119"/>
  <c r="Q210" i="119" s="1"/>
  <c r="Q90" i="119" s="1"/>
  <c r="Q91" i="119" s="1"/>
  <c r="O278" i="119"/>
  <c r="O81" i="119"/>
  <c r="O83" i="119" s="1"/>
  <c r="O101" i="119" s="1"/>
  <c r="O131" i="119"/>
  <c r="O133" i="119" s="1"/>
  <c r="O140" i="119" s="1"/>
  <c r="O141" i="119" s="1"/>
  <c r="Q100" i="201" l="1"/>
  <c r="Q101" i="201" s="1"/>
  <c r="Q67" i="201"/>
  <c r="Q68" i="201" s="1"/>
  <c r="Q73" i="201" s="1"/>
  <c r="Q72" i="201"/>
  <c r="P42" i="201"/>
  <c r="P44" i="201" s="1"/>
  <c r="P63" i="201"/>
  <c r="N126" i="119"/>
  <c r="N118" i="119" s="1"/>
  <c r="N119" i="119" s="1"/>
  <c r="N207" i="119" s="1"/>
  <c r="P210" i="119" s="1"/>
  <c r="P90" i="119" s="1"/>
  <c r="P91" i="119" s="1"/>
  <c r="P132" i="119" s="1"/>
  <c r="N274" i="119"/>
  <c r="N278" i="119" s="1"/>
  <c r="N287" i="119" s="1"/>
  <c r="N288" i="119" s="1"/>
  <c r="N250" i="119"/>
  <c r="N141" i="189"/>
  <c r="N13" i="190" s="1"/>
  <c r="O287" i="119"/>
  <c r="O288" i="119" s="1"/>
  <c r="Q100" i="189"/>
  <c r="Q101" i="189" s="1"/>
  <c r="Q72" i="189"/>
  <c r="Q74" i="189" s="1"/>
  <c r="Q77" i="189" s="1"/>
  <c r="Q78" i="189" s="1"/>
  <c r="Q81" i="189" s="1"/>
  <c r="Q83" i="189" s="1"/>
  <c r="Q85" i="189" s="1"/>
  <c r="Q86" i="189" s="1"/>
  <c r="N55" i="189"/>
  <c r="N56" i="189" s="1"/>
  <c r="N105" i="189" s="1"/>
  <c r="P108" i="189" s="1"/>
  <c r="P39" i="189" s="1"/>
  <c r="P40" i="189" s="1"/>
  <c r="Q132" i="119"/>
  <c r="Q93" i="119"/>
  <c r="Q95" i="119" s="1"/>
  <c r="Q113" i="119" s="1"/>
  <c r="O125" i="119"/>
  <c r="O228" i="119"/>
  <c r="O267" i="119"/>
  <c r="Q74" i="201" l="1"/>
  <c r="Q77" i="201" s="1"/>
  <c r="Q78" i="201" s="1"/>
  <c r="Q81" i="201" s="1"/>
  <c r="Q83" i="201" s="1"/>
  <c r="Q85" i="201" s="1"/>
  <c r="Q86" i="201" s="1"/>
  <c r="Q122" i="201" s="1"/>
  <c r="R124" i="201" s="1"/>
  <c r="R127" i="201" s="1"/>
  <c r="R128" i="201" s="1"/>
  <c r="R139" i="201" s="1"/>
  <c r="P50" i="201"/>
  <c r="P52" i="201" s="1"/>
  <c r="P55" i="201" s="1"/>
  <c r="P56" i="201" s="1"/>
  <c r="P105" i="201" s="1"/>
  <c r="P116" i="201"/>
  <c r="P80" i="201"/>
  <c r="P62" i="201"/>
  <c r="P64" i="201" s="1"/>
  <c r="P132" i="201"/>
  <c r="P93" i="119"/>
  <c r="P95" i="119" s="1"/>
  <c r="Q122" i="189"/>
  <c r="R124" i="189" s="1"/>
  <c r="R127" i="189" s="1"/>
  <c r="R128" i="189" s="1"/>
  <c r="Q89" i="189"/>
  <c r="Q90" i="189" s="1"/>
  <c r="Q93" i="189" s="1"/>
  <c r="Q95" i="189" s="1"/>
  <c r="Q106" i="189" s="1"/>
  <c r="S108" i="189" s="1"/>
  <c r="S39" i="189" s="1"/>
  <c r="S40" i="189" s="1"/>
  <c r="Q133" i="189"/>
  <c r="Q135" i="189" s="1"/>
  <c r="Q140" i="189" s="1"/>
  <c r="O270" i="119"/>
  <c r="P63" i="189"/>
  <c r="P42" i="189"/>
  <c r="P44" i="189" s="1"/>
  <c r="Q274" i="119"/>
  <c r="Q250" i="119"/>
  <c r="Q126" i="119"/>
  <c r="Q115" i="119" s="1"/>
  <c r="Q118" i="119" s="1"/>
  <c r="Q119" i="119" s="1"/>
  <c r="O127" i="119"/>
  <c r="O103" i="119"/>
  <c r="O106" i="119" s="1"/>
  <c r="O107" i="119" s="1"/>
  <c r="Q89" i="201" l="1"/>
  <c r="Q90" i="201" s="1"/>
  <c r="Q93" i="201" s="1"/>
  <c r="Q95" i="201" s="1"/>
  <c r="Q106" i="201" s="1"/>
  <c r="S108" i="201" s="1"/>
  <c r="S39" i="201" s="1"/>
  <c r="S40" i="201" s="1"/>
  <c r="S42" i="201" s="1"/>
  <c r="S44" i="201" s="1"/>
  <c r="Q133" i="201"/>
  <c r="Q135" i="201" s="1"/>
  <c r="Q140" i="201" s="1"/>
  <c r="P100" i="201"/>
  <c r="P101" i="201" s="1"/>
  <c r="P67" i="201"/>
  <c r="P68" i="201" s="1"/>
  <c r="P73" i="201" s="1"/>
  <c r="P72" i="201"/>
  <c r="P250" i="119"/>
  <c r="P113" i="119"/>
  <c r="P274" i="119"/>
  <c r="P126" i="119"/>
  <c r="P116" i="189"/>
  <c r="P132" i="189"/>
  <c r="O283" i="119"/>
  <c r="S63" i="189"/>
  <c r="S42" i="189"/>
  <c r="S44" i="189" s="1"/>
  <c r="P62" i="189"/>
  <c r="P64" i="189" s="1"/>
  <c r="P50" i="189"/>
  <c r="P52" i="189" s="1"/>
  <c r="P80" i="189"/>
  <c r="Q207" i="119"/>
  <c r="O139" i="119"/>
  <c r="O157" i="119"/>
  <c r="O200" i="119"/>
  <c r="Q203" i="119" s="1"/>
  <c r="Q78" i="119" s="1"/>
  <c r="Q79" i="119" s="1"/>
  <c r="S63" i="201" l="1"/>
  <c r="P74" i="201"/>
  <c r="P77" i="201" s="1"/>
  <c r="P78" i="201" s="1"/>
  <c r="P81" i="201" s="1"/>
  <c r="P83" i="201" s="1"/>
  <c r="P85" i="201" s="1"/>
  <c r="P86" i="201" s="1"/>
  <c r="P122" i="201" s="1"/>
  <c r="Q124" i="201" s="1"/>
  <c r="S80" i="201"/>
  <c r="S50" i="201"/>
  <c r="S132" i="201"/>
  <c r="S62" i="201"/>
  <c r="S116" i="201"/>
  <c r="T118" i="201" s="1"/>
  <c r="P115" i="119"/>
  <c r="P118" i="119" s="1"/>
  <c r="P119" i="119" s="1"/>
  <c r="P207" i="119" s="1"/>
  <c r="S116" i="189"/>
  <c r="T118" i="189" s="1"/>
  <c r="S132" i="189"/>
  <c r="S62" i="189"/>
  <c r="S64" i="189" s="1"/>
  <c r="S50" i="189"/>
  <c r="S55" i="189" s="1"/>
  <c r="S56" i="189" s="1"/>
  <c r="S105" i="189" s="1"/>
  <c r="S80" i="189"/>
  <c r="O11" i="190"/>
  <c r="O284" i="119"/>
  <c r="O9" i="190" s="1"/>
  <c r="P55" i="189"/>
  <c r="P56" i="189" s="1"/>
  <c r="P72" i="189"/>
  <c r="P67" i="189"/>
  <c r="P68" i="189" s="1"/>
  <c r="P73" i="189" s="1"/>
  <c r="P100" i="189"/>
  <c r="P101" i="189" s="1"/>
  <c r="O177" i="119"/>
  <c r="O178" i="119" s="1"/>
  <c r="O144" i="119"/>
  <c r="O145" i="119" s="1"/>
  <c r="O150" i="119" s="1"/>
  <c r="O151" i="119" s="1"/>
  <c r="O154" i="119" s="1"/>
  <c r="O155" i="119" s="1"/>
  <c r="O158" i="119" s="1"/>
  <c r="O149" i="119"/>
  <c r="Q81" i="119"/>
  <c r="Q83" i="119" s="1"/>
  <c r="Q101" i="119" s="1"/>
  <c r="Q131" i="119"/>
  <c r="Q133" i="119" s="1"/>
  <c r="Q140" i="119" s="1"/>
  <c r="S64" i="201" l="1"/>
  <c r="S100" i="201" s="1"/>
  <c r="S101" i="201" s="1"/>
  <c r="P74" i="189"/>
  <c r="P77" i="189" s="1"/>
  <c r="P78" i="189" s="1"/>
  <c r="P81" i="189" s="1"/>
  <c r="P83" i="189" s="1"/>
  <c r="P85" i="189" s="1"/>
  <c r="P86" i="189" s="1"/>
  <c r="P122" i="189" s="1"/>
  <c r="Q124" i="189" s="1"/>
  <c r="Q127" i="189" s="1"/>
  <c r="Q128" i="189" s="1"/>
  <c r="P89" i="201"/>
  <c r="P90" i="201" s="1"/>
  <c r="P93" i="201" s="1"/>
  <c r="P95" i="201" s="1"/>
  <c r="P133" i="201"/>
  <c r="P135" i="201" s="1"/>
  <c r="P140" i="201" s="1"/>
  <c r="P141" i="201" s="1"/>
  <c r="P15" i="190" s="1"/>
  <c r="T126" i="201"/>
  <c r="H118" i="201"/>
  <c r="H126" i="201" s="1"/>
  <c r="Q127" i="201"/>
  <c r="Q128" i="201" s="1"/>
  <c r="S67" i="189"/>
  <c r="S68" i="189" s="1"/>
  <c r="S73" i="189" s="1"/>
  <c r="S72" i="189"/>
  <c r="H118" i="189"/>
  <c r="H126" i="189" s="1"/>
  <c r="T126" i="189"/>
  <c r="S100" i="189"/>
  <c r="S101" i="189" s="1"/>
  <c r="P139" i="189"/>
  <c r="P105" i="189"/>
  <c r="Q267" i="119"/>
  <c r="Q228" i="119"/>
  <c r="Q125" i="119"/>
  <c r="J200" i="119"/>
  <c r="L203" i="119" s="1"/>
  <c r="L78" i="119" s="1"/>
  <c r="L79" i="119" s="1"/>
  <c r="S72" i="201" l="1"/>
  <c r="S67" i="201"/>
  <c r="S68" i="201" s="1"/>
  <c r="S73" i="201" s="1"/>
  <c r="S74" i="201" s="1"/>
  <c r="S77" i="201" s="1"/>
  <c r="S78" i="201" s="1"/>
  <c r="S81" i="201" s="1"/>
  <c r="S83" i="201" s="1"/>
  <c r="S85" i="201" s="1"/>
  <c r="S86" i="201" s="1"/>
  <c r="S122" i="201" s="1"/>
  <c r="T124" i="201" s="1"/>
  <c r="T127" i="201" s="1"/>
  <c r="T128" i="201" s="1"/>
  <c r="T139" i="201" s="1"/>
  <c r="P133" i="189"/>
  <c r="P135" i="189" s="1"/>
  <c r="P140" i="189" s="1"/>
  <c r="P141" i="189" s="1"/>
  <c r="P13" i="190" s="1"/>
  <c r="P89" i="189"/>
  <c r="P90" i="189" s="1"/>
  <c r="P93" i="189" s="1"/>
  <c r="P95" i="189" s="1"/>
  <c r="Q139" i="201"/>
  <c r="Q141" i="201" s="1"/>
  <c r="Q15" i="190" s="1"/>
  <c r="P106" i="201"/>
  <c r="R108" i="201" s="1"/>
  <c r="R39" i="201" s="1"/>
  <c r="R40" i="201" s="1"/>
  <c r="S74" i="189"/>
  <c r="S77" i="189" s="1"/>
  <c r="S78" i="189" s="1"/>
  <c r="S81" i="189" s="1"/>
  <c r="S83" i="189" s="1"/>
  <c r="S85" i="189" s="1"/>
  <c r="S86" i="189" s="1"/>
  <c r="S122" i="189" s="1"/>
  <c r="T124" i="189" s="1"/>
  <c r="T127" i="189" s="1"/>
  <c r="T128" i="189" s="1"/>
  <c r="Q139" i="189"/>
  <c r="Q103" i="119"/>
  <c r="Q106" i="119" s="1"/>
  <c r="Q107" i="119" s="1"/>
  <c r="Q127" i="119"/>
  <c r="L131" i="119"/>
  <c r="L133" i="119" s="1"/>
  <c r="L81" i="119"/>
  <c r="L83" i="119" s="1"/>
  <c r="L101" i="119" s="1"/>
  <c r="S133" i="201" l="1"/>
  <c r="S135" i="201" s="1"/>
  <c r="S140" i="201" s="1"/>
  <c r="S89" i="201"/>
  <c r="S90" i="201" s="1"/>
  <c r="S93" i="201" s="1"/>
  <c r="S95" i="201" s="1"/>
  <c r="S106" i="201" s="1"/>
  <c r="U108" i="201" s="1"/>
  <c r="U39" i="201" s="1"/>
  <c r="U40" i="201" s="1"/>
  <c r="U42" i="201" s="1"/>
  <c r="U44" i="201" s="1"/>
  <c r="R63" i="201"/>
  <c r="R42" i="201"/>
  <c r="R44" i="201" s="1"/>
  <c r="S133" i="189"/>
  <c r="S135" i="189" s="1"/>
  <c r="S140" i="189" s="1"/>
  <c r="S89" i="189"/>
  <c r="S90" i="189" s="1"/>
  <c r="S93" i="189" s="1"/>
  <c r="S95" i="189" s="1"/>
  <c r="S106" i="189" s="1"/>
  <c r="U108" i="189" s="1"/>
  <c r="U39" i="189" s="1"/>
  <c r="U40" i="189" s="1"/>
  <c r="U42" i="189" s="1"/>
  <c r="U44" i="189" s="1"/>
  <c r="U80" i="189" s="1"/>
  <c r="Q141" i="189"/>
  <c r="Q13" i="190" s="1"/>
  <c r="P106" i="189"/>
  <c r="R108" i="189" s="1"/>
  <c r="R39" i="189" s="1"/>
  <c r="R40" i="189" s="1"/>
  <c r="Q139" i="119"/>
  <c r="Q141" i="119" s="1"/>
  <c r="Q157" i="119"/>
  <c r="Q200" i="119"/>
  <c r="L140" i="119"/>
  <c r="L141" i="119" s="1"/>
  <c r="L228" i="119"/>
  <c r="L267" i="119"/>
  <c r="L270" i="119" s="1"/>
  <c r="L283" i="119" s="1"/>
  <c r="L125" i="119"/>
  <c r="U63" i="201" l="1"/>
  <c r="U64" i="201" s="1"/>
  <c r="U67" i="201" s="1"/>
  <c r="U68" i="201" s="1"/>
  <c r="U73" i="201" s="1"/>
  <c r="U74" i="201" s="1"/>
  <c r="U77" i="201" s="1"/>
  <c r="U78" i="201" s="1"/>
  <c r="U81" i="201" s="1"/>
  <c r="R116" i="201"/>
  <c r="R132" i="201"/>
  <c r="R50" i="201"/>
  <c r="R52" i="201" s="1"/>
  <c r="R55" i="201" s="1"/>
  <c r="R56" i="201" s="1"/>
  <c r="R105" i="201" s="1"/>
  <c r="R80" i="201"/>
  <c r="R62" i="201"/>
  <c r="R64" i="201" s="1"/>
  <c r="R100" i="201" s="1"/>
  <c r="R101" i="201" s="1"/>
  <c r="U132" i="201"/>
  <c r="U135" i="201" s="1"/>
  <c r="U140" i="201" s="1"/>
  <c r="U50" i="201"/>
  <c r="U52" i="201" s="1"/>
  <c r="U55" i="201" s="1"/>
  <c r="U56" i="201" s="1"/>
  <c r="U105" i="201" s="1"/>
  <c r="W108" i="201" s="1"/>
  <c r="U116" i="201"/>
  <c r="U80" i="201"/>
  <c r="U62" i="201"/>
  <c r="U63" i="189"/>
  <c r="U64" i="189" s="1"/>
  <c r="U67" i="189" s="1"/>
  <c r="U68" i="189" s="1"/>
  <c r="U73" i="189" s="1"/>
  <c r="U74" i="189" s="1"/>
  <c r="U77" i="189" s="1"/>
  <c r="U78" i="189" s="1"/>
  <c r="U81" i="189" s="1"/>
  <c r="U62" i="189"/>
  <c r="U50" i="189"/>
  <c r="U52" i="189" s="1"/>
  <c r="U55" i="189" s="1"/>
  <c r="U116" i="189"/>
  <c r="U132" i="189"/>
  <c r="U135" i="189" s="1"/>
  <c r="U140" i="189" s="1"/>
  <c r="L11" i="190"/>
  <c r="L284" i="119"/>
  <c r="L9" i="190" s="1"/>
  <c r="R63" i="189"/>
  <c r="R42" i="189"/>
  <c r="R44" i="189" s="1"/>
  <c r="Q177" i="119"/>
  <c r="Q178" i="119" s="1"/>
  <c r="Q149" i="119"/>
  <c r="Q144" i="119"/>
  <c r="Q145" i="119" s="1"/>
  <c r="Q150" i="119" s="1"/>
  <c r="T55" i="189"/>
  <c r="T56" i="189" s="1"/>
  <c r="L103" i="119"/>
  <c r="L127" i="119"/>
  <c r="L177" i="119"/>
  <c r="L178" i="119" s="1"/>
  <c r="L149" i="119"/>
  <c r="L144" i="119"/>
  <c r="L145" i="119" s="1"/>
  <c r="L150" i="119" s="1"/>
  <c r="L151" i="119" s="1"/>
  <c r="L154" i="119" s="1"/>
  <c r="L155" i="119" s="1"/>
  <c r="L158" i="119" s="1"/>
  <c r="U100" i="201" l="1"/>
  <c r="U101" i="201" s="1"/>
  <c r="U72" i="201"/>
  <c r="R67" i="201"/>
  <c r="R68" i="201" s="1"/>
  <c r="R73" i="201" s="1"/>
  <c r="R72" i="201"/>
  <c r="H56" i="201"/>
  <c r="H105" i="201" s="1"/>
  <c r="W39" i="201"/>
  <c r="W40" i="201" s="1"/>
  <c r="U56" i="189"/>
  <c r="U105" i="189" s="1"/>
  <c r="W108" i="189" s="1"/>
  <c r="W39" i="189" s="1"/>
  <c r="W40" i="189" s="1"/>
  <c r="U72" i="189"/>
  <c r="U100" i="189"/>
  <c r="U101" i="189" s="1"/>
  <c r="R116" i="189"/>
  <c r="R132" i="189"/>
  <c r="R80" i="189"/>
  <c r="R50" i="189"/>
  <c r="R52" i="189" s="1"/>
  <c r="R55" i="189" s="1"/>
  <c r="R56" i="189" s="1"/>
  <c r="R105" i="189" s="1"/>
  <c r="R62" i="189"/>
  <c r="R64" i="189" s="1"/>
  <c r="L139" i="119"/>
  <c r="L157" i="119"/>
  <c r="Q151" i="119"/>
  <c r="Q154" i="119" s="1"/>
  <c r="Q155" i="119" s="1"/>
  <c r="Q158" i="119" s="1"/>
  <c r="Q160" i="119" s="1"/>
  <c r="Q162" i="119" s="1"/>
  <c r="Q163" i="119" s="1"/>
  <c r="T105" i="189"/>
  <c r="L106" i="119"/>
  <c r="L107" i="119" s="1"/>
  <c r="R74" i="201" l="1"/>
  <c r="R77" i="201" s="1"/>
  <c r="R78" i="201" s="1"/>
  <c r="R81" i="201" s="1"/>
  <c r="R83" i="201" s="1"/>
  <c r="R85" i="201" s="1"/>
  <c r="R86" i="201" s="1"/>
  <c r="R133" i="201" s="1"/>
  <c r="R135" i="201" s="1"/>
  <c r="R140" i="201" s="1"/>
  <c r="R141" i="201" s="1"/>
  <c r="R15" i="190" s="1"/>
  <c r="W63" i="201"/>
  <c r="W64" i="201" s="1"/>
  <c r="W42" i="201"/>
  <c r="W44" i="201" s="1"/>
  <c r="W42" i="189"/>
  <c r="W44" i="189" s="1"/>
  <c r="W80" i="189" s="1"/>
  <c r="W63" i="189"/>
  <c r="W64" i="189" s="1"/>
  <c r="W100" i="189" s="1"/>
  <c r="W101" i="189" s="1"/>
  <c r="Q222" i="119"/>
  <c r="Q224" i="119" s="1"/>
  <c r="Q244" i="119"/>
  <c r="Q246" i="119" s="1"/>
  <c r="R72" i="189"/>
  <c r="R100" i="189"/>
  <c r="R101" i="189" s="1"/>
  <c r="R67" i="189"/>
  <c r="R68" i="189" s="1"/>
  <c r="R73" i="189" s="1"/>
  <c r="Q166" i="119"/>
  <c r="Q167" i="119" s="1"/>
  <c r="Q170" i="119" s="1"/>
  <c r="L200" i="119"/>
  <c r="N203" i="119" s="1"/>
  <c r="R74" i="189" l="1"/>
  <c r="R77" i="189" s="1"/>
  <c r="R78" i="189" s="1"/>
  <c r="R81" i="189" s="1"/>
  <c r="R83" i="189" s="1"/>
  <c r="R85" i="189" s="1"/>
  <c r="R86" i="189" s="1"/>
  <c r="R122" i="189" s="1"/>
  <c r="S124" i="189" s="1"/>
  <c r="S127" i="189" s="1"/>
  <c r="S128" i="189" s="1"/>
  <c r="R122" i="201"/>
  <c r="S124" i="201" s="1"/>
  <c r="S127" i="201" s="1"/>
  <c r="S128" i="201" s="1"/>
  <c r="R89" i="201"/>
  <c r="R90" i="201" s="1"/>
  <c r="R93" i="201" s="1"/>
  <c r="R95" i="201" s="1"/>
  <c r="W116" i="201"/>
  <c r="W80" i="201"/>
  <c r="W132" i="201"/>
  <c r="W135" i="201" s="1"/>
  <c r="W62" i="201"/>
  <c r="W50" i="201"/>
  <c r="W52" i="201" s="1"/>
  <c r="W100" i="201"/>
  <c r="W101" i="201" s="1"/>
  <c r="W67" i="201"/>
  <c r="W68" i="201" s="1"/>
  <c r="W73" i="201" s="1"/>
  <c r="W74" i="201" s="1"/>
  <c r="W77" i="201" s="1"/>
  <c r="W78" i="201" s="1"/>
  <c r="W81" i="201" s="1"/>
  <c r="W72" i="201"/>
  <c r="W50" i="189"/>
  <c r="W52" i="189" s="1"/>
  <c r="W55" i="189" s="1"/>
  <c r="W105" i="189" s="1"/>
  <c r="W62" i="189"/>
  <c r="W132" i="189"/>
  <c r="W135" i="189" s="1"/>
  <c r="W140" i="189" s="1"/>
  <c r="W141" i="189" s="1"/>
  <c r="W13" i="190" s="1"/>
  <c r="W116" i="189"/>
  <c r="W72" i="189"/>
  <c r="W67" i="189"/>
  <c r="W68" i="189" s="1"/>
  <c r="W73" i="189" s="1"/>
  <c r="W74" i="189" s="1"/>
  <c r="W77" i="189" s="1"/>
  <c r="W78" i="189" s="1"/>
  <c r="W81" i="189" s="1"/>
  <c r="Q257" i="119"/>
  <c r="R259" i="119" s="1"/>
  <c r="R262" i="119" s="1"/>
  <c r="R263" i="119" s="1"/>
  <c r="R286" i="119" s="1"/>
  <c r="Q276" i="119"/>
  <c r="Q278" i="119" s="1"/>
  <c r="Q234" i="119"/>
  <c r="R236" i="119" s="1"/>
  <c r="R239" i="119" s="1"/>
  <c r="R240" i="119" s="1"/>
  <c r="Q268" i="119"/>
  <c r="Q270" i="119" s="1"/>
  <c r="Q283" i="119" s="1"/>
  <c r="R139" i="189"/>
  <c r="Q172" i="119"/>
  <c r="N78" i="119"/>
  <c r="N79" i="119" s="1"/>
  <c r="R89" i="189" l="1"/>
  <c r="R90" i="189" s="1"/>
  <c r="R93" i="189" s="1"/>
  <c r="R95" i="189" s="1"/>
  <c r="R133" i="189"/>
  <c r="R135" i="189" s="1"/>
  <c r="R140" i="189" s="1"/>
  <c r="R141" i="189" s="1"/>
  <c r="R13" i="190" s="1"/>
  <c r="R106" i="201"/>
  <c r="T108" i="201" s="1"/>
  <c r="S139" i="201"/>
  <c r="S141" i="201" s="1"/>
  <c r="S15" i="190" s="1"/>
  <c r="W140" i="201"/>
  <c r="W141" i="201" s="1"/>
  <c r="W15" i="190" s="1"/>
  <c r="W55" i="201"/>
  <c r="S139" i="189"/>
  <c r="Q287" i="119"/>
  <c r="Q188" i="119"/>
  <c r="Q190" i="119" s="1"/>
  <c r="Q201" i="119" s="1"/>
  <c r="S203" i="119" s="1"/>
  <c r="S78" i="119" s="1"/>
  <c r="S79" i="119" s="1"/>
  <c r="S131" i="119" s="1"/>
  <c r="Q192" i="119"/>
  <c r="Q194" i="119" s="1"/>
  <c r="Q208" i="119" s="1"/>
  <c r="S210" i="119" s="1"/>
  <c r="S90" i="119" s="1"/>
  <c r="S91" i="119" s="1"/>
  <c r="N81" i="119"/>
  <c r="N83" i="119" s="1"/>
  <c r="N101" i="119" s="1"/>
  <c r="N131" i="119"/>
  <c r="N133" i="119" s="1"/>
  <c r="T39" i="201" l="1"/>
  <c r="T40" i="201" s="1"/>
  <c r="S141" i="189"/>
  <c r="S13" i="190" s="1"/>
  <c r="S81" i="119"/>
  <c r="S83" i="119" s="1"/>
  <c r="R106" i="189"/>
  <c r="T108" i="189" s="1"/>
  <c r="T39" i="189" s="1"/>
  <c r="T40" i="189" s="1"/>
  <c r="S132" i="119"/>
  <c r="S133" i="119" s="1"/>
  <c r="S140" i="119" s="1"/>
  <c r="S93" i="119"/>
  <c r="S95" i="119" s="1"/>
  <c r="S113" i="119" s="1"/>
  <c r="N140" i="119"/>
  <c r="N141" i="119" s="1"/>
  <c r="N125" i="119"/>
  <c r="N228" i="119"/>
  <c r="N267" i="119"/>
  <c r="N270" i="119" s="1"/>
  <c r="N283" i="119" s="1"/>
  <c r="T63" i="201" l="1"/>
  <c r="T42" i="201"/>
  <c r="T44" i="201" s="1"/>
  <c r="S125" i="119"/>
  <c r="S101" i="119"/>
  <c r="N11" i="190"/>
  <c r="N284" i="119"/>
  <c r="N9" i="190" s="1"/>
  <c r="T63" i="189"/>
  <c r="T42" i="189"/>
  <c r="T44" i="189" s="1"/>
  <c r="S274" i="119"/>
  <c r="S250" i="119"/>
  <c r="T253" i="119" s="1"/>
  <c r="S126" i="119"/>
  <c r="S267" i="119"/>
  <c r="S228" i="119"/>
  <c r="T230" i="119" s="1"/>
  <c r="N144" i="119"/>
  <c r="N145" i="119" s="1"/>
  <c r="N150" i="119" s="1"/>
  <c r="N151" i="119" s="1"/>
  <c r="N154" i="119" s="1"/>
  <c r="N155" i="119" s="1"/>
  <c r="N158" i="119" s="1"/>
  <c r="N149" i="119"/>
  <c r="N177" i="119"/>
  <c r="N178" i="119" s="1"/>
  <c r="N127" i="119"/>
  <c r="N103" i="119"/>
  <c r="T116" i="201" l="1"/>
  <c r="T80" i="201"/>
  <c r="T132" i="201"/>
  <c r="T62" i="201"/>
  <c r="T64" i="201" s="1"/>
  <c r="T67" i="201" s="1"/>
  <c r="T68" i="201" s="1"/>
  <c r="T73" i="201" s="1"/>
  <c r="T50" i="201"/>
  <c r="T116" i="189"/>
  <c r="T132" i="189"/>
  <c r="H253" i="119"/>
  <c r="H261" i="119" s="1"/>
  <c r="T261" i="119"/>
  <c r="H230" i="119"/>
  <c r="H238" i="119" s="1"/>
  <c r="T238" i="119"/>
  <c r="T50" i="189"/>
  <c r="T62" i="189"/>
  <c r="T64" i="189" s="1"/>
  <c r="T80" i="189"/>
  <c r="S127" i="119"/>
  <c r="N139" i="119"/>
  <c r="N157" i="119"/>
  <c r="N106" i="119"/>
  <c r="N107" i="119" s="1"/>
  <c r="T100" i="201" l="1"/>
  <c r="T101" i="201" s="1"/>
  <c r="T72" i="201"/>
  <c r="T74" i="201" s="1"/>
  <c r="T77" i="201" s="1"/>
  <c r="T78" i="201" s="1"/>
  <c r="T81" i="201" s="1"/>
  <c r="T83" i="201" s="1"/>
  <c r="T67" i="189"/>
  <c r="T68" i="189" s="1"/>
  <c r="T73" i="189" s="1"/>
  <c r="T100" i="189"/>
  <c r="T101" i="189" s="1"/>
  <c r="T72" i="189"/>
  <c r="S157" i="119"/>
  <c r="S139" i="119"/>
  <c r="S141" i="119" s="1"/>
  <c r="T74" i="189" l="1"/>
  <c r="T77" i="189" s="1"/>
  <c r="T78" i="189" s="1"/>
  <c r="T81" i="189" s="1"/>
  <c r="T83" i="189" s="1"/>
  <c r="T85" i="189" s="1"/>
  <c r="T86" i="189" s="1"/>
  <c r="T122" i="189" s="1"/>
  <c r="T85" i="201"/>
  <c r="T86" i="201" s="1"/>
  <c r="H83" i="201"/>
  <c r="H85" i="201" s="1"/>
  <c r="S177" i="119"/>
  <c r="S178" i="119" s="1"/>
  <c r="S149" i="119"/>
  <c r="S144" i="119"/>
  <c r="S145" i="119" s="1"/>
  <c r="S150" i="119" s="1"/>
  <c r="N200" i="119"/>
  <c r="P203" i="119" s="1"/>
  <c r="H83" i="189" l="1"/>
  <c r="H85" i="189" s="1"/>
  <c r="T133" i="201"/>
  <c r="T135" i="201" s="1"/>
  <c r="T89" i="201"/>
  <c r="T90" i="201" s="1"/>
  <c r="T122" i="201"/>
  <c r="U124" i="201" s="1"/>
  <c r="H86" i="201"/>
  <c r="U124" i="189"/>
  <c r="U127" i="189" s="1"/>
  <c r="U128" i="189" s="1"/>
  <c r="T139" i="189"/>
  <c r="S151" i="119"/>
  <c r="S154" i="119" s="1"/>
  <c r="S155" i="119" s="1"/>
  <c r="S158" i="119" s="1"/>
  <c r="S160" i="119" s="1"/>
  <c r="S162" i="119" s="1"/>
  <c r="S163" i="119" s="1"/>
  <c r="H86" i="189"/>
  <c r="H122" i="189" s="1"/>
  <c r="T89" i="189"/>
  <c r="T90" i="189" s="1"/>
  <c r="T133" i="189"/>
  <c r="P78" i="119"/>
  <c r="P79" i="119" s="1"/>
  <c r="H89" i="201" l="1"/>
  <c r="H122" i="201"/>
  <c r="H133" i="201"/>
  <c r="T93" i="201"/>
  <c r="T95" i="201" s="1"/>
  <c r="H90" i="201"/>
  <c r="H93" i="201" s="1"/>
  <c r="U127" i="201"/>
  <c r="U128" i="201" s="1"/>
  <c r="H124" i="201"/>
  <c r="H127" i="201" s="1"/>
  <c r="T140" i="201"/>
  <c r="T141" i="201" s="1"/>
  <c r="T15" i="190" s="1"/>
  <c r="T135" i="189"/>
  <c r="T140" i="189" s="1"/>
  <c r="T141" i="189" s="1"/>
  <c r="T13" i="190" s="1"/>
  <c r="S244" i="119"/>
  <c r="S246" i="119" s="1"/>
  <c r="S222" i="119"/>
  <c r="S224" i="119" s="1"/>
  <c r="S166" i="119"/>
  <c r="S167" i="119" s="1"/>
  <c r="S170" i="119" s="1"/>
  <c r="S172" i="119" s="1"/>
  <c r="H124" i="189"/>
  <c r="H127" i="189" s="1"/>
  <c r="H90" i="189"/>
  <c r="H93" i="189" s="1"/>
  <c r="T93" i="189"/>
  <c r="T95" i="189" s="1"/>
  <c r="H133" i="189"/>
  <c r="H89" i="189"/>
  <c r="P81" i="119"/>
  <c r="P83" i="119" s="1"/>
  <c r="P101" i="119" s="1"/>
  <c r="P131" i="119"/>
  <c r="P133" i="119" s="1"/>
  <c r="T106" i="201" l="1"/>
  <c r="V108" i="201" s="1"/>
  <c r="H95" i="201"/>
  <c r="H106" i="201" s="1"/>
  <c r="U139" i="201"/>
  <c r="U141" i="201" s="1"/>
  <c r="U15" i="190" s="1"/>
  <c r="H128" i="201"/>
  <c r="H139" i="201" s="1"/>
  <c r="S257" i="119"/>
  <c r="T259" i="119" s="1"/>
  <c r="T262" i="119" s="1"/>
  <c r="T263" i="119" s="1"/>
  <c r="T286" i="119" s="1"/>
  <c r="S276" i="119"/>
  <c r="S278" i="119" s="1"/>
  <c r="S287" i="119" s="1"/>
  <c r="S234" i="119"/>
  <c r="T236" i="119" s="1"/>
  <c r="T239" i="119" s="1"/>
  <c r="T240" i="119" s="1"/>
  <c r="S268" i="119"/>
  <c r="S270" i="119" s="1"/>
  <c r="S283" i="119" s="1"/>
  <c r="S188" i="119"/>
  <c r="S190" i="119" s="1"/>
  <c r="S201" i="119" s="1"/>
  <c r="U203" i="119" s="1"/>
  <c r="U78" i="119" s="1"/>
  <c r="U79" i="119" s="1"/>
  <c r="S192" i="119"/>
  <c r="S194" i="119" s="1"/>
  <c r="S208" i="119" s="1"/>
  <c r="U210" i="119" s="1"/>
  <c r="U90" i="119" s="1"/>
  <c r="U91" i="119" s="1"/>
  <c r="H128" i="189"/>
  <c r="H139" i="189" s="1"/>
  <c r="U139" i="189"/>
  <c r="H95" i="189"/>
  <c r="H106" i="189" s="1"/>
  <c r="T106" i="189"/>
  <c r="V108" i="189" s="1"/>
  <c r="P140" i="119"/>
  <c r="P228" i="119"/>
  <c r="P267" i="119"/>
  <c r="P125" i="119"/>
  <c r="V39" i="201" l="1"/>
  <c r="V40" i="201" s="1"/>
  <c r="H108" i="201"/>
  <c r="H39" i="201" s="1"/>
  <c r="U141" i="189"/>
  <c r="U13" i="190" s="1"/>
  <c r="H108" i="189"/>
  <c r="H39" i="189" s="1"/>
  <c r="V39" i="189"/>
  <c r="V40" i="189" s="1"/>
  <c r="U131" i="119"/>
  <c r="U81" i="119"/>
  <c r="U83" i="119" s="1"/>
  <c r="U101" i="119" s="1"/>
  <c r="U132" i="119"/>
  <c r="U93" i="119"/>
  <c r="U95" i="119" s="1"/>
  <c r="U113" i="119" s="1"/>
  <c r="P127" i="119"/>
  <c r="P103" i="119"/>
  <c r="V63" i="201" l="1"/>
  <c r="V64" i="201" s="1"/>
  <c r="V42" i="201"/>
  <c r="V44" i="201" s="1"/>
  <c r="H40" i="201"/>
  <c r="V63" i="189"/>
  <c r="V64" i="189" s="1"/>
  <c r="H40" i="189"/>
  <c r="V42" i="189"/>
  <c r="V44" i="189" s="1"/>
  <c r="U228" i="119"/>
  <c r="U267" i="119"/>
  <c r="U125" i="119"/>
  <c r="U126" i="119"/>
  <c r="U115" i="119" s="1"/>
  <c r="U118" i="119" s="1"/>
  <c r="U250" i="119"/>
  <c r="U274" i="119"/>
  <c r="U278" i="119" s="1"/>
  <c r="U133" i="119"/>
  <c r="U140" i="119" s="1"/>
  <c r="P139" i="119"/>
  <c r="P141" i="119" s="1"/>
  <c r="P157" i="119"/>
  <c r="P106" i="119"/>
  <c r="P107" i="119" s="1"/>
  <c r="H63" i="201" l="1"/>
  <c r="H42" i="201"/>
  <c r="V116" i="201"/>
  <c r="V50" i="201"/>
  <c r="V52" i="201" s="1"/>
  <c r="V80" i="201"/>
  <c r="V62" i="201"/>
  <c r="V132" i="201"/>
  <c r="V135" i="201" s="1"/>
  <c r="H44" i="201"/>
  <c r="V67" i="201"/>
  <c r="V68" i="201" s="1"/>
  <c r="V73" i="201" s="1"/>
  <c r="V74" i="201" s="1"/>
  <c r="V77" i="201" s="1"/>
  <c r="V78" i="201" s="1"/>
  <c r="V81" i="201" s="1"/>
  <c r="V72" i="201"/>
  <c r="V100" i="201"/>
  <c r="V101" i="201" s="1"/>
  <c r="F101" i="201" s="1"/>
  <c r="F30" i="193" s="1"/>
  <c r="U119" i="119"/>
  <c r="U207" i="119" s="1"/>
  <c r="W210" i="119" s="1"/>
  <c r="W90" i="119" s="1"/>
  <c r="W91" i="119" s="1"/>
  <c r="V116" i="189"/>
  <c r="V132" i="189"/>
  <c r="V135" i="189" s="1"/>
  <c r="U287" i="119"/>
  <c r="U270" i="119"/>
  <c r="U283" i="119" s="1"/>
  <c r="H63" i="189"/>
  <c r="H42" i="189"/>
  <c r="V62" i="189"/>
  <c r="V50" i="189"/>
  <c r="V52" i="189" s="1"/>
  <c r="H44" i="189"/>
  <c r="V80" i="189"/>
  <c r="V67" i="189"/>
  <c r="V68" i="189" s="1"/>
  <c r="V73" i="189" s="1"/>
  <c r="V74" i="189" s="1"/>
  <c r="V77" i="189" s="1"/>
  <c r="V78" i="189" s="1"/>
  <c r="V81" i="189" s="1"/>
  <c r="V72" i="189"/>
  <c r="V100" i="189"/>
  <c r="V101" i="189" s="1"/>
  <c r="F101" i="189" s="1"/>
  <c r="F29" i="193" s="1"/>
  <c r="U103" i="119"/>
  <c r="U106" i="119" s="1"/>
  <c r="U127" i="119"/>
  <c r="P177" i="119"/>
  <c r="P178" i="119" s="1"/>
  <c r="P149" i="119"/>
  <c r="P144" i="119"/>
  <c r="P145" i="119" s="1"/>
  <c r="P150" i="119" s="1"/>
  <c r="P200" i="119"/>
  <c r="V55" i="201" l="1"/>
  <c r="H52" i="201"/>
  <c r="H55" i="201" s="1"/>
  <c r="V140" i="201"/>
  <c r="V141" i="201" s="1"/>
  <c r="H135" i="201"/>
  <c r="H140" i="201" s="1"/>
  <c r="H116" i="201"/>
  <c r="H80" i="201"/>
  <c r="H50" i="201"/>
  <c r="H62" i="201"/>
  <c r="H132" i="201"/>
  <c r="W93" i="119"/>
  <c r="W95" i="119" s="1"/>
  <c r="W113" i="119" s="1"/>
  <c r="W132" i="119"/>
  <c r="U107" i="119"/>
  <c r="U200" i="119" s="1"/>
  <c r="W203" i="119" s="1"/>
  <c r="W78" i="119" s="1"/>
  <c r="W79" i="119" s="1"/>
  <c r="H116" i="189"/>
  <c r="H132" i="189"/>
  <c r="H62" i="189"/>
  <c r="H80" i="189"/>
  <c r="H50" i="189"/>
  <c r="V140" i="189"/>
  <c r="V141" i="189" s="1"/>
  <c r="H135" i="189"/>
  <c r="H140" i="189" s="1"/>
  <c r="H52" i="189"/>
  <c r="H55" i="189" s="1"/>
  <c r="V55" i="189"/>
  <c r="U157" i="119"/>
  <c r="U139" i="119"/>
  <c r="U141" i="119" s="1"/>
  <c r="P151" i="119"/>
  <c r="P154" i="119" s="1"/>
  <c r="H141" i="201" l="1"/>
  <c r="H15" i="190" s="1"/>
  <c r="V15" i="190"/>
  <c r="W126" i="119"/>
  <c r="W115" i="119" s="1"/>
  <c r="W118" i="119" s="1"/>
  <c r="W207" i="119" s="1"/>
  <c r="W250" i="119"/>
  <c r="W274" i="119"/>
  <c r="W278" i="119" s="1"/>
  <c r="W287" i="119" s="1"/>
  <c r="W288" i="119" s="1"/>
  <c r="W81" i="119"/>
  <c r="W83" i="119" s="1"/>
  <c r="W101" i="119" s="1"/>
  <c r="W131" i="119"/>
  <c r="W133" i="119" s="1"/>
  <c r="W140" i="119" s="1"/>
  <c r="W141" i="119" s="1"/>
  <c r="W177" i="119" s="1"/>
  <c r="W178" i="119" s="1"/>
  <c r="V13" i="190"/>
  <c r="H141" i="189"/>
  <c r="H13" i="190" s="1"/>
  <c r="V105" i="189"/>
  <c r="H56" i="189"/>
  <c r="H105" i="189" s="1"/>
  <c r="U177" i="119"/>
  <c r="U178" i="119" s="1"/>
  <c r="U149" i="119"/>
  <c r="U144" i="119"/>
  <c r="U145" i="119" s="1"/>
  <c r="U150" i="119" s="1"/>
  <c r="U151" i="119" s="1"/>
  <c r="U154" i="119" s="1"/>
  <c r="U155" i="119" s="1"/>
  <c r="U158" i="119" s="1"/>
  <c r="P155" i="119"/>
  <c r="P158" i="119" s="1"/>
  <c r="P160" i="119" s="1"/>
  <c r="P162" i="119" s="1"/>
  <c r="P163" i="119" s="1"/>
  <c r="W144" i="119" l="1"/>
  <c r="W145" i="119" s="1"/>
  <c r="W150" i="119" s="1"/>
  <c r="W151" i="119" s="1"/>
  <c r="W154" i="119" s="1"/>
  <c r="W155" i="119" s="1"/>
  <c r="W158" i="119" s="1"/>
  <c r="W125" i="119"/>
  <c r="W127" i="119" s="1"/>
  <c r="W267" i="119"/>
  <c r="W270" i="119" s="1"/>
  <c r="W149" i="119"/>
  <c r="W228" i="119"/>
  <c r="P222" i="119"/>
  <c r="P224" i="119" s="1"/>
  <c r="P268" i="119" s="1"/>
  <c r="P244" i="119"/>
  <c r="P246" i="119" s="1"/>
  <c r="P282" i="119"/>
  <c r="W103" i="119"/>
  <c r="W106" i="119" s="1"/>
  <c r="W200" i="119" s="1"/>
  <c r="P166" i="119"/>
  <c r="P167" i="119" s="1"/>
  <c r="P170" i="119" s="1"/>
  <c r="P257" i="119" l="1"/>
  <c r="Q259" i="119" s="1"/>
  <c r="Q262" i="119" s="1"/>
  <c r="Q263" i="119" s="1"/>
  <c r="Q286" i="119" s="1"/>
  <c r="Q288" i="119" s="1"/>
  <c r="Q11" i="190" s="1"/>
  <c r="P276" i="119"/>
  <c r="P278" i="119" s="1"/>
  <c r="P270" i="119"/>
  <c r="P283" i="119" s="1"/>
  <c r="P284" i="119" s="1"/>
  <c r="P9" i="190" s="1"/>
  <c r="W283" i="119"/>
  <c r="P234" i="119"/>
  <c r="P172" i="119"/>
  <c r="P192" i="119" s="1"/>
  <c r="P194" i="119" s="1"/>
  <c r="W139" i="119"/>
  <c r="W157" i="119"/>
  <c r="W11" i="190" l="1"/>
  <c r="W284" i="119"/>
  <c r="W9" i="190" s="1"/>
  <c r="P287" i="119"/>
  <c r="P288" i="119" s="1"/>
  <c r="P11" i="190" s="1"/>
  <c r="Q236" i="119"/>
  <c r="Q239" i="119" s="1"/>
  <c r="Q240" i="119" s="1"/>
  <c r="Q282" i="119" s="1"/>
  <c r="P188" i="119"/>
  <c r="P190" i="119" s="1"/>
  <c r="Q284" i="119" l="1"/>
  <c r="Q9" i="190" s="1"/>
  <c r="P201" i="119"/>
  <c r="R203" i="119" s="1"/>
  <c r="R78" i="119" s="1"/>
  <c r="R79" i="119" s="1"/>
  <c r="P208" i="119" l="1"/>
  <c r="R210" i="119" s="1"/>
  <c r="R90" i="119" s="1"/>
  <c r="R91" i="119" s="1"/>
  <c r="R93" i="119" s="1"/>
  <c r="R95" i="119" s="1"/>
  <c r="R113" i="119" s="1"/>
  <c r="R81" i="119"/>
  <c r="R83" i="119" s="1"/>
  <c r="R101" i="119" s="1"/>
  <c r="R131" i="119"/>
  <c r="R132" i="119" l="1"/>
  <c r="R133" i="119" s="1"/>
  <c r="R140" i="119" s="1"/>
  <c r="R267" i="119"/>
  <c r="R125" i="119"/>
  <c r="R228" i="119"/>
  <c r="R126" i="119"/>
  <c r="R115" i="119" s="1"/>
  <c r="R118" i="119" s="1"/>
  <c r="R119" i="119" s="1"/>
  <c r="R250" i="119"/>
  <c r="R274" i="119"/>
  <c r="R127" i="119" l="1"/>
  <c r="R103" i="119"/>
  <c r="R106" i="119" s="1"/>
  <c r="R107" i="119" s="1"/>
  <c r="R200" i="119" s="1"/>
  <c r="R207" i="119"/>
  <c r="R157" i="119" l="1"/>
  <c r="R139" i="119"/>
  <c r="R141" i="119" s="1"/>
  <c r="R177" i="119" l="1"/>
  <c r="R178" i="119" s="1"/>
  <c r="R144" i="119"/>
  <c r="R145" i="119" s="1"/>
  <c r="R150" i="119" s="1"/>
  <c r="R149" i="119"/>
  <c r="R151" i="119" l="1"/>
  <c r="R154" i="119" s="1"/>
  <c r="R155" i="119" s="1"/>
  <c r="R158" i="119" s="1"/>
  <c r="R160" i="119" s="1"/>
  <c r="R162" i="119" s="1"/>
  <c r="R163" i="119" s="1"/>
  <c r="R244" i="119" l="1"/>
  <c r="R246" i="119" s="1"/>
  <c r="R222" i="119"/>
  <c r="R224" i="119" s="1"/>
  <c r="R268" i="119" s="1"/>
  <c r="R270" i="119" s="1"/>
  <c r="R283" i="119" s="1"/>
  <c r="R166" i="119"/>
  <c r="R167" i="119" s="1"/>
  <c r="R170" i="119" s="1"/>
  <c r="R257" i="119" l="1"/>
  <c r="S259" i="119" s="1"/>
  <c r="S262" i="119" s="1"/>
  <c r="S263" i="119" s="1"/>
  <c r="S286" i="119" s="1"/>
  <c r="S288" i="119" s="1"/>
  <c r="S11" i="190" s="1"/>
  <c r="R276" i="119"/>
  <c r="R278" i="119" s="1"/>
  <c r="R287" i="119" s="1"/>
  <c r="R234" i="119"/>
  <c r="R282" i="119"/>
  <c r="R172" i="119"/>
  <c r="R192" i="119" s="1"/>
  <c r="R194" i="119" s="1"/>
  <c r="R288" i="119" l="1"/>
  <c r="R11" i="190" s="1"/>
  <c r="R284" i="119"/>
  <c r="R9" i="190" s="1"/>
  <c r="S236" i="119"/>
  <c r="S239" i="119" s="1"/>
  <c r="S240" i="119" s="1"/>
  <c r="S282" i="119" s="1"/>
  <c r="R188" i="119"/>
  <c r="R190" i="119" s="1"/>
  <c r="S284" i="119" l="1"/>
  <c r="S9" i="190" s="1"/>
  <c r="R201" i="119"/>
  <c r="T203" i="119" s="1"/>
  <c r="T78" i="119" s="1"/>
  <c r="T79" i="119" s="1"/>
  <c r="R208" i="119" l="1"/>
  <c r="T210" i="119" s="1"/>
  <c r="T90" i="119" s="1"/>
  <c r="T91" i="119" s="1"/>
  <c r="T93" i="119" s="1"/>
  <c r="T95" i="119" s="1"/>
  <c r="T113" i="119" s="1"/>
  <c r="T131" i="119"/>
  <c r="T81" i="119"/>
  <c r="T83" i="119" s="1"/>
  <c r="T101" i="119" s="1"/>
  <c r="T132" i="119" l="1"/>
  <c r="T133" i="119" s="1"/>
  <c r="T140" i="119" s="1"/>
  <c r="T267" i="119"/>
  <c r="T228" i="119"/>
  <c r="T125" i="119"/>
  <c r="T274" i="119"/>
  <c r="T126" i="119"/>
  <c r="T250" i="119"/>
  <c r="T127" i="119" l="1"/>
  <c r="T139" i="119" l="1"/>
  <c r="T141" i="119" s="1"/>
  <c r="T157" i="119"/>
  <c r="T177" i="119" l="1"/>
  <c r="T178" i="119" s="1"/>
  <c r="T144" i="119"/>
  <c r="T145" i="119" s="1"/>
  <c r="T150" i="119" s="1"/>
  <c r="T149" i="119"/>
  <c r="T151" i="119" l="1"/>
  <c r="T154" i="119" s="1"/>
  <c r="T155" i="119" s="1"/>
  <c r="T158" i="119" s="1"/>
  <c r="T160" i="119" s="1"/>
  <c r="T162" i="119" s="1"/>
  <c r="T163" i="119" s="1"/>
  <c r="T222" i="119" l="1"/>
  <c r="T224" i="119" s="1"/>
  <c r="T268" i="119" s="1"/>
  <c r="T244" i="119"/>
  <c r="T246" i="119" s="1"/>
  <c r="T282" i="119"/>
  <c r="H160" i="119"/>
  <c r="H162" i="119" s="1"/>
  <c r="H163" i="119"/>
  <c r="T166" i="119"/>
  <c r="T167" i="119" s="1"/>
  <c r="T257" i="119" l="1"/>
  <c r="U259" i="119" s="1"/>
  <c r="U262" i="119" s="1"/>
  <c r="U263" i="119" s="1"/>
  <c r="U286" i="119" s="1"/>
  <c r="U288" i="119" s="1"/>
  <c r="T276" i="119"/>
  <c r="T278" i="119" s="1"/>
  <c r="T287" i="119" s="1"/>
  <c r="T270" i="119"/>
  <c r="T283" i="119" s="1"/>
  <c r="T284" i="119" s="1"/>
  <c r="T9" i="190" s="1"/>
  <c r="H222" i="119"/>
  <c r="H244" i="119"/>
  <c r="T234" i="119"/>
  <c r="H224" i="119"/>
  <c r="H167" i="119"/>
  <c r="H170" i="119" s="1"/>
  <c r="T170" i="119"/>
  <c r="T172" i="119" s="1"/>
  <c r="T192" i="119" s="1"/>
  <c r="T194" i="119" s="1"/>
  <c r="H166" i="119"/>
  <c r="H259" i="119" l="1"/>
  <c r="H262" i="119" s="1"/>
  <c r="T288" i="119"/>
  <c r="T11" i="190" s="1"/>
  <c r="H234" i="119"/>
  <c r="H268" i="119"/>
  <c r="U236" i="119"/>
  <c r="U239" i="119" s="1"/>
  <c r="U240" i="119" s="1"/>
  <c r="U11" i="190"/>
  <c r="H263" i="119"/>
  <c r="H286" i="119" s="1"/>
  <c r="H172" i="119"/>
  <c r="T188" i="119"/>
  <c r="H236" i="119" l="1"/>
  <c r="H239" i="119" s="1"/>
  <c r="U282" i="119"/>
  <c r="H240" i="119"/>
  <c r="H282" i="119" s="1"/>
  <c r="T190" i="119"/>
  <c r="H190" i="119" s="1"/>
  <c r="H201" i="119" s="1"/>
  <c r="H188" i="119"/>
  <c r="H192" i="119"/>
  <c r="U284" i="119" l="1"/>
  <c r="U9" i="190" s="1"/>
  <c r="T201" i="119"/>
  <c r="V203" i="119" s="1"/>
  <c r="H203" i="119" s="1"/>
  <c r="H78" i="119" s="1"/>
  <c r="T208" i="119"/>
  <c r="V210" i="119" s="1"/>
  <c r="V90" i="119" s="1"/>
  <c r="V91" i="119" s="1"/>
  <c r="H194" i="119"/>
  <c r="H208" i="119" s="1"/>
  <c r="V78" i="119" l="1"/>
  <c r="V79" i="119" s="1"/>
  <c r="V81" i="119" s="1"/>
  <c r="V83" i="119" s="1"/>
  <c r="V101" i="119" s="1"/>
  <c r="H210" i="119"/>
  <c r="H90" i="119" s="1"/>
  <c r="V132" i="119"/>
  <c r="V93" i="119"/>
  <c r="V95" i="119" s="1"/>
  <c r="V113" i="119" s="1"/>
  <c r="H91" i="119"/>
  <c r="H79" i="119" l="1"/>
  <c r="H81" i="119" s="1"/>
  <c r="V131" i="119"/>
  <c r="V133" i="119" s="1"/>
  <c r="H133" i="119" s="1"/>
  <c r="H140" i="119" s="1"/>
  <c r="V125" i="119"/>
  <c r="H83" i="119"/>
  <c r="H101" i="119" s="1"/>
  <c r="V267" i="119"/>
  <c r="V270" i="119" s="1"/>
  <c r="V283" i="119" s="1"/>
  <c r="V284" i="119" s="1"/>
  <c r="V228" i="119"/>
  <c r="H93" i="119"/>
  <c r="H132" i="119"/>
  <c r="V126" i="119"/>
  <c r="V115" i="119" s="1"/>
  <c r="V250" i="119"/>
  <c r="H95" i="119"/>
  <c r="H113" i="119" s="1"/>
  <c r="V274" i="119"/>
  <c r="V278" i="119" s="1"/>
  <c r="H131" i="119" l="1"/>
  <c r="V140" i="119"/>
  <c r="H284" i="119"/>
  <c r="H9" i="190" s="1"/>
  <c r="V9" i="190"/>
  <c r="H278" i="119"/>
  <c r="H287" i="119" s="1"/>
  <c r="V287" i="119"/>
  <c r="V288" i="119" s="1"/>
  <c r="H270" i="119"/>
  <c r="H283" i="119" s="1"/>
  <c r="H126" i="119"/>
  <c r="H250" i="119"/>
  <c r="H274" i="119"/>
  <c r="H125" i="119"/>
  <c r="H228" i="119"/>
  <c r="H267" i="119"/>
  <c r="H115" i="119"/>
  <c r="H118" i="119" s="1"/>
  <c r="V118" i="119"/>
  <c r="V103" i="119"/>
  <c r="V127" i="119"/>
  <c r="H119" i="119" l="1"/>
  <c r="H207" i="119" s="1"/>
  <c r="V207" i="119"/>
  <c r="V157" i="119"/>
  <c r="H127" i="119"/>
  <c r="V139" i="119"/>
  <c r="V141" i="119" s="1"/>
  <c r="V11" i="190"/>
  <c r="H288" i="119"/>
  <c r="H11" i="190" s="1"/>
  <c r="H103" i="119"/>
  <c r="H106" i="119" s="1"/>
  <c r="V106" i="119"/>
  <c r="H107" i="119" l="1"/>
  <c r="H200" i="119" s="1"/>
  <c r="V200" i="119"/>
  <c r="V144" i="119"/>
  <c r="V145" i="119" s="1"/>
  <c r="V150" i="119" s="1"/>
  <c r="V151" i="119" s="1"/>
  <c r="V154" i="119" s="1"/>
  <c r="V155" i="119" s="1"/>
  <c r="V158" i="119" s="1"/>
  <c r="V177" i="119"/>
  <c r="V178" i="119" s="1"/>
  <c r="F178" i="119" s="1"/>
  <c r="F28" i="193" s="1"/>
  <c r="F24" i="193" s="1"/>
  <c r="V149" i="119"/>
  <c r="H157" i="119"/>
  <c r="H139" i="119"/>
  <c r="F3" i="193" l="1"/>
  <c r="C37" i="196" s="1"/>
  <c r="F3" i="201"/>
  <c r="F3" i="119"/>
  <c r="F3" i="189"/>
  <c r="F3" i="190"/>
  <c r="F3" i="187"/>
  <c r="F3" i="186"/>
  <c r="F3" i="188"/>
</calcChain>
</file>

<file path=xl/sharedStrings.xml><?xml version="1.0" encoding="utf-8"?>
<sst xmlns="http://schemas.openxmlformats.org/spreadsheetml/2006/main" count="704" uniqueCount="439">
  <si>
    <t>Model name:</t>
  </si>
  <si>
    <t>PR19 Revenue Forecasting Incentive Model</t>
  </si>
  <si>
    <t>Version number:</t>
  </si>
  <si>
    <t>1.0a</t>
  </si>
  <si>
    <t>Filename:</t>
  </si>
  <si>
    <t>RFI-model-Apr-2023-v1.0a.xlsb</t>
  </si>
  <si>
    <t>Date:</t>
  </si>
  <si>
    <t xml:space="preserve">Author: </t>
  </si>
  <si>
    <t>Ofwat</t>
  </si>
  <si>
    <t>Author contact information:</t>
  </si>
  <si>
    <t>PR24@Ofwat.gov.uk</t>
  </si>
  <si>
    <t>Summary of model:</t>
  </si>
  <si>
    <t>This draft model is designed to show the Revenue Forecasting Incentive will work over the PR19 period.</t>
  </si>
  <si>
    <t>Disclaimer:</t>
  </si>
  <si>
    <t>Known limitations of the model:</t>
  </si>
  <si>
    <t>Issue</t>
  </si>
  <si>
    <t>Details</t>
  </si>
  <si>
    <t>Model link</t>
  </si>
  <si>
    <t>Consultation</t>
  </si>
  <si>
    <t>This model is subject to consultation and consequently may be subject to further changes.</t>
  </si>
  <si>
    <t>n/a</t>
  </si>
  <si>
    <t>Licence modification</t>
  </si>
  <si>
    <t xml:space="preserve">We made a licence modification to enable the Revenue Forecasting Incentive during 2019. </t>
  </si>
  <si>
    <t xml:space="preserve">Hardware requirements </t>
  </si>
  <si>
    <t>The macros in this model have been tested on 32 bit Excel. The macros do not contain any code, such as DECLARE statements, that will not work on 64 bit Excel but they have not been tested on 64 bit Excel.</t>
  </si>
  <si>
    <t>Changes</t>
  </si>
  <si>
    <t xml:space="preserve">Below are details of changes to the model from the version published for consultation published in Februaury 2020. </t>
  </si>
  <si>
    <t>The changes fix issues that have been identified and implement improvements for clarity and ease of use.</t>
  </si>
  <si>
    <t>Category</t>
  </si>
  <si>
    <t>Sheet(s) in current model</t>
  </si>
  <si>
    <t>Description of change(s) made</t>
  </si>
  <si>
    <t>Model link(s)</t>
  </si>
  <si>
    <t>Clarification</t>
  </si>
  <si>
    <t>Model Formatting, ToC</t>
  </si>
  <si>
    <t>Adding standard OFWAT model documentation</t>
  </si>
  <si>
    <t>Inputs</t>
  </si>
  <si>
    <t>The K factor Inputs have been labelled as ‘Revised K’ to be consistent with the Outputs from the in-period adjustments model.</t>
  </si>
  <si>
    <t>Formula Update</t>
  </si>
  <si>
    <t>Wholesale Water</t>
  </si>
  <si>
    <t>Improved readability by linking cell to line 83 instead of line 125</t>
  </si>
  <si>
    <t>Improved readability by linking cell to line 95 instead of line 126</t>
  </si>
  <si>
    <t>Wholesale Water/Wastewater network Plus</t>
  </si>
  <si>
    <t>All #REF errors trapped</t>
  </si>
  <si>
    <t xml:space="preserve">Multiple instances of daisy chaining in formulae removed by linking to source cell </t>
  </si>
  <si>
    <t>Inputs
Indices and K factor
Wholesale TTT
F_Outputs</t>
  </si>
  <si>
    <t>Included inputs and calculations for the Thames Tideway Tunnel price control</t>
  </si>
  <si>
    <t>Error check status</t>
  </si>
  <si>
    <t>Track changes status</t>
  </si>
  <si>
    <t>END OF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</si>
  <si>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</si>
  <si>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</si>
  <si>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</si>
  <si>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</si>
  <si>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</si>
  <si>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</si>
  <si>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</si>
  <si>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</si>
  <si>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</si>
  <si>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</si>
  <si>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</si>
  <si>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</si>
  <si>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</si>
  <si>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</si>
  <si>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</si>
  <si>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</si>
  <si>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</si>
  <si>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</si>
  <si>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</si>
  <si>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</si>
  <si>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</si>
  <si>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</si>
  <si>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</si>
  <si>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</si>
  <si>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</si>
  <si>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</si>
  <si>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</si>
  <si>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</si>
  <si>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</si>
  <si>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</si>
  <si>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</si>
  <si>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</si>
  <si>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</si>
  <si>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</si>
  <si>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</si>
  <si>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</si>
  <si>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</si>
  <si>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</si>
  <si>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</si>
  <si>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</si>
  <si>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</si>
  <si>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</si>
  <si>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</si>
  <si>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</si>
  <si>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</si>
  <si>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</si>
  <si>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</si>
  <si>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</si>
  <si>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</si>
  <si>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</si>
  <si>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</si>
  <si>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</si>
  <si>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</si>
  <si>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</si>
  <si>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</si>
  <si>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</si>
  <si>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</si>
  <si>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</si>
  <si>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</si>
  <si>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</si>
  <si>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</si>
  <si>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</si>
  <si>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</si>
  <si>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</si>
  <si>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</si>
  <si>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</si>
  <si>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</si>
  <si>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</si>
  <si>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COVER SHEETS</t>
  </si>
  <si>
    <t>INPUTS</t>
  </si>
  <si>
    <t>CALCULATIONS</t>
  </si>
  <si>
    <t>OUTPUTS</t>
  </si>
  <si>
    <t>DOCUMENTATION AND QUALITY CONTROL</t>
  </si>
  <si>
    <t>Documentation</t>
  </si>
  <si>
    <t>Quality Control</t>
  </si>
  <si>
    <t>Front cover</t>
  </si>
  <si>
    <t>All inputs are taken from this sheet.</t>
  </si>
  <si>
    <t>The model timeline and flag calculations are done in this sheet.</t>
  </si>
  <si>
    <t>All outputs are brought to this sheet.</t>
  </si>
  <si>
    <t>Key</t>
  </si>
  <si>
    <t>Model error checks</t>
  </si>
  <si>
    <t>All the indexation related and K Factor calculations are done in this sheet.</t>
  </si>
  <si>
    <t>Model contents</t>
  </si>
  <si>
    <t>All the 'Wholesale Water' related calculations are done in this sheet.</t>
  </si>
  <si>
    <t>All the 'Wholesale Wastewater' related calculations are done in this sheet.</t>
  </si>
  <si>
    <t>`</t>
  </si>
  <si>
    <t>All the 'Thames Tideway Control' related calculations are done in this sheet.</t>
  </si>
  <si>
    <t>Constant</t>
  </si>
  <si>
    <t>Unit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</si>
  <si>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</si>
  <si>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</si>
  <si>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</si>
  <si>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</si>
  <si>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</si>
  <si>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</si>
  <si>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</si>
  <si>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</si>
  <si>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</si>
  <si>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</si>
  <si>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</si>
  <si>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</si>
  <si>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</si>
  <si>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</si>
  <si>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</si>
  <si>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</si>
  <si>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</si>
  <si>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</si>
  <si>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</si>
  <si>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</si>
  <si>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Post - forecast period</t>
  </si>
  <si>
    <t>Post-Fcst</t>
  </si>
  <si>
    <t>Project dates</t>
  </si>
  <si>
    <t>Forecast start date</t>
  </si>
  <si>
    <t>Forecast duration</t>
  </si>
  <si>
    <t>years #</t>
  </si>
  <si>
    <t>Forecast duration (text)</t>
  </si>
  <si>
    <t>2020-25</t>
  </si>
  <si>
    <t>For Info only</t>
  </si>
  <si>
    <t>B: INDEXATION</t>
  </si>
  <si>
    <t>2017/18 indexation modelling column financial year#</t>
  </si>
  <si>
    <t>CPIH (all changes are from November to November)</t>
  </si>
  <si>
    <t>CPIH Index Nov - actual</t>
  </si>
  <si>
    <t>index</t>
  </si>
  <si>
    <t>CPIH: Forecast Annual Increase</t>
  </si>
  <si>
    <t>%</t>
  </si>
  <si>
    <t xml:space="preserve">CPIH Index Nov </t>
  </si>
  <si>
    <t>CPIH Index Nov (prior year)</t>
  </si>
  <si>
    <t>CPIH Index (base year 2017/18)</t>
  </si>
  <si>
    <t>C: MODEL PARAMETERS</t>
  </si>
  <si>
    <t>Company Name</t>
  </si>
  <si>
    <t>name</t>
  </si>
  <si>
    <t>Company Type</t>
  </si>
  <si>
    <t>D: GENERAL PARAMETERS</t>
  </si>
  <si>
    <t>RFI Parameters</t>
  </si>
  <si>
    <t>Penalty rate scaling</t>
  </si>
  <si>
    <t>Minimum threshold</t>
  </si>
  <si>
    <t>Maximum threshold</t>
  </si>
  <si>
    <t>Penalty level</t>
  </si>
  <si>
    <t>Discount rate</t>
  </si>
  <si>
    <t>Threshold for additional variance analyses</t>
  </si>
  <si>
    <t>Timing delay</t>
  </si>
  <si>
    <t>years</t>
  </si>
  <si>
    <t>E: WATER RESOURCES (Water Res)</t>
  </si>
  <si>
    <t>Revenue</t>
  </si>
  <si>
    <t>Allowed revenue - Water Res (base year 2019/2020)</t>
  </si>
  <si>
    <t>Bilateral entry adjustment (BEA) (base year 2017/18)</t>
  </si>
  <si>
    <t>Revised K - Water Res</t>
  </si>
  <si>
    <t xml:space="preserve">Actual Revenue - Water Res </t>
  </si>
  <si>
    <t>Blind year adjustment</t>
  </si>
  <si>
    <t>Total blind year adjustment - Water Res (base year 2019/2020)</t>
  </si>
  <si>
    <t>Blind year profiling factor - Water Res</t>
  </si>
  <si>
    <t>Blind year profiling factor - Water Res - Validation</t>
  </si>
  <si>
    <t>Check</t>
  </si>
  <si>
    <t>F: WATER NETWORK-PLUS (Water-N+)</t>
  </si>
  <si>
    <t>Allowed revenue - Water-N+ (base year 2019/2020)</t>
  </si>
  <si>
    <t>Revised K - Water-N+</t>
  </si>
  <si>
    <t xml:space="preserve">Actual Revenue - Water-N+ </t>
  </si>
  <si>
    <r>
      <t>Proportion of penalty allocated to Water-N+ (</t>
    </r>
    <r>
      <rPr>
        <b/>
        <sz val="10"/>
        <color rgb="FF002060"/>
        <rFont val="Franklin Gothic Book"/>
        <family val="2"/>
      </rPr>
      <t>PS</t>
    </r>
    <r>
      <rPr>
        <sz val="10"/>
        <color rgb="FF000000"/>
        <rFont val="Arial"/>
        <family val="2"/>
      </rPr>
      <t>)</t>
    </r>
  </si>
  <si>
    <t>Total blind year adjustment - Water-N+ (base year 2019/2020)</t>
  </si>
  <si>
    <t>Blind year profiling factor - Water-N+</t>
  </si>
  <si>
    <t>Blind year profiling factor - Water-N+ - Validation</t>
  </si>
  <si>
    <t>G: WASTEWATER NETWORK-PLUS (WW-N+)</t>
  </si>
  <si>
    <t>Allowed revenue - WW-N+ (base year 2019/2020)</t>
  </si>
  <si>
    <t>Revised K - WW-N+</t>
  </si>
  <si>
    <t xml:space="preserve">Actual Revenue  - WW-N+ </t>
  </si>
  <si>
    <t>Total blind year adjustment - WW-N+ (base year 2019/2020)</t>
  </si>
  <si>
    <t xml:space="preserve">Blind year profiling factor - WW-N+ </t>
  </si>
  <si>
    <t>Blind year profiling factor - WW-N+ - Validation</t>
  </si>
  <si>
    <t>H: WASTEWATER THAMES TIDEWAY TUNNEL (WW-TTT)</t>
  </si>
  <si>
    <t>Allowed revenue - WW-TTT (base year 2019/2020)</t>
  </si>
  <si>
    <t>Revised K - WW-TTT</t>
  </si>
  <si>
    <t xml:space="preserve">Actual Revenue  - WW-TTT </t>
  </si>
  <si>
    <t>Total blind year adjustment - WW-TTT (base year 2019/2020)</t>
  </si>
  <si>
    <t xml:space="preserve">Blind year profiling factor - WW-TTT </t>
  </si>
  <si>
    <t>Blind year profiling factor - WW-TTT - Validation</t>
  </si>
  <si>
    <t>I: NON CHANGEABLE MODEL TECHNICAL INPUTS</t>
  </si>
  <si>
    <t>Months per model period</t>
  </si>
  <si>
    <t>months</t>
  </si>
  <si>
    <t>Unit conversion to percentage</t>
  </si>
  <si>
    <t>Model Tolerance</t>
  </si>
  <si>
    <t>Model Check Tolerance Level</t>
  </si>
  <si>
    <t>tolerance</t>
  </si>
  <si>
    <t>Model Track Tolerance Level</t>
  </si>
  <si>
    <t>End of sheet</t>
  </si>
  <si>
    <t>MODEL PERIOD</t>
  </si>
  <si>
    <t xml:space="preserve">Model column counter </t>
  </si>
  <si>
    <t>Model column counter</t>
  </si>
  <si>
    <t>counter</t>
  </si>
  <si>
    <t>Model column total</t>
  </si>
  <si>
    <t>columns</t>
  </si>
  <si>
    <t>1st model column flag</t>
  </si>
  <si>
    <t>flag</t>
  </si>
  <si>
    <t>Model period beginning</t>
  </si>
  <si>
    <t>Model period ending</t>
  </si>
  <si>
    <t>2017/18 indexation start period flag</t>
  </si>
  <si>
    <t>2017/18 indexation period flag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</si>
  <si>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</si>
  <si>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</si>
  <si>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</si>
  <si>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</si>
  <si>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</si>
  <si>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</si>
  <si>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</si>
  <si>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</si>
  <si>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</si>
  <si>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</si>
  <si>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</si>
  <si>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First post-forecast period flag</t>
  </si>
  <si>
    <t>Post-forecast period flag</t>
  </si>
  <si>
    <t>Post-forecast period - total</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</si>
  <si>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</si>
  <si>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</si>
  <si>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</si>
  <si>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</si>
  <si>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</si>
  <si>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</si>
  <si>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</si>
  <si>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</si>
  <si>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</si>
  <si>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</si>
  <si>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</si>
  <si>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</si>
  <si>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</si>
  <si>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CPIH: Nov % increase</t>
  </si>
  <si>
    <t>CPIH: Nov % increase (prior year) - CALC</t>
  </si>
  <si>
    <t>CPIH: Nov - Nov index inflating from 2019/20</t>
  </si>
  <si>
    <t xml:space="preserve">CPIH Nov 2019/20 </t>
  </si>
  <si>
    <t>Index</t>
  </si>
  <si>
    <t>CPIH Forecast period base inflation</t>
  </si>
  <si>
    <t>CPIH: Nov - Nov index (prior year) inflating from 2019/20</t>
  </si>
  <si>
    <t>CPIH: Nov - Nov index inflating from 2017/18</t>
  </si>
  <si>
    <t>CPIH: Nov - Nov index (prior year) inflating from 2017/18</t>
  </si>
  <si>
    <t>Revenue indexation</t>
  </si>
  <si>
    <t>Actual CPIH: Nov - Nov increase from base year</t>
  </si>
  <si>
    <t>K FACTORS</t>
  </si>
  <si>
    <t>Water Resources</t>
  </si>
  <si>
    <t>K - Water Res percentage</t>
  </si>
  <si>
    <t>Revenue indexation - Water Res</t>
  </si>
  <si>
    <t>factor</t>
  </si>
  <si>
    <t>Water Network-Plus</t>
  </si>
  <si>
    <t>K - Water-N+ percentage</t>
  </si>
  <si>
    <t>Revenue indexation - Water-N+</t>
  </si>
  <si>
    <t>Wastewater Network-Plus</t>
  </si>
  <si>
    <t>K - WW-N+ percentage</t>
  </si>
  <si>
    <t>Revenue indexation - WW-N+</t>
  </si>
  <si>
    <t>Wastewater TTT</t>
  </si>
  <si>
    <t>K - WW-TTT percentage</t>
  </si>
  <si>
    <t>Revenue indexation - WW-TTT</t>
  </si>
  <si>
    <t>ALLOWED REVENUE</t>
  </si>
  <si>
    <t>Allowed Revenue: Water Resources</t>
  </si>
  <si>
    <t xml:space="preserve">Allowed revenue - Water Res </t>
  </si>
  <si>
    <t>Allowed Revenue: Water-N+</t>
  </si>
  <si>
    <t xml:space="preserve">Allowed revenue - Water-N+ </t>
  </si>
  <si>
    <t>BILATERAL ENTRY ADJUSTMENT</t>
  </si>
  <si>
    <t>Bilateral entry adjustment - with financing adjustment</t>
  </si>
  <si>
    <t>Bilateral entry adjustment - with financing adjustment and inflation adjustment</t>
  </si>
  <si>
    <t>Bilateral entry adjustment - as incurred</t>
  </si>
  <si>
    <t>BLIND YEAR ADJUSTMENT</t>
  </si>
  <si>
    <t>Blind year adjustment - Water-N+</t>
  </si>
  <si>
    <t>Blind year adjustment (profiled) - Water-N+ (base year 2019/20)</t>
  </si>
  <si>
    <t>Blind year adjustment inc. financing rate adjustment - Water-N+ (base year 2019/2020)</t>
  </si>
  <si>
    <t xml:space="preserve">Blind year adjustment inc. financing rate adjustment and inflation adjustment (BYA) - Water-N+ </t>
  </si>
  <si>
    <t>Blind year adjustment - Water Resources</t>
  </si>
  <si>
    <t>Blind year adjustment (profiled) - Water Res (base year 2019/20)</t>
  </si>
  <si>
    <t>Blind year adjustment inc. financing rate adjustment - Water Res (base year 2019/2020)</t>
  </si>
  <si>
    <t xml:space="preserve">Blind year adjustment inc. financing rate adjustment and inflation adjustment (BYA) - Water Res </t>
  </si>
  <si>
    <t>REVENUE CORRECTION</t>
  </si>
  <si>
    <t>Main revenue over / under recovery: Water-N+ (Including profiled Blind year adjustment)</t>
  </si>
  <si>
    <t>Adjusted allowed revenue - Water-N+</t>
  </si>
  <si>
    <t>less</t>
  </si>
  <si>
    <t>Revenue Imbalance - Water-N+</t>
  </si>
  <si>
    <t>Main revenue over / under recovery: Water resources</t>
  </si>
  <si>
    <t>Adjusted allowed revenue - Water Res</t>
  </si>
  <si>
    <t>Revenue Imbalance - Water Res</t>
  </si>
  <si>
    <t>Main revenue adjustment Water-N+</t>
  </si>
  <si>
    <t>Main revenue adjustment - with financing adjustment - Water-N+</t>
  </si>
  <si>
    <t>Main revenue adjustment - with financing adjustment &amp; 2 year lag of inflation - Water-N+</t>
  </si>
  <si>
    <t>Main revenue adjustment Water Res</t>
  </si>
  <si>
    <t>Main revenue adjustment - with financing adjustment - Water Res</t>
  </si>
  <si>
    <t>Main revenue adjustment - with financing adjustment &amp; 2 year lag of inflation - Water Res</t>
  </si>
  <si>
    <t>WHOLESALE WATER CALCULATIONS</t>
  </si>
  <si>
    <t>Total revenue imbalance (Water-N+ and Water Res)</t>
  </si>
  <si>
    <t xml:space="preserve">Revenue Imbalance - Wholesale Water </t>
  </si>
  <si>
    <t>Total adjusted allowed revenue - Wholesale Water</t>
  </si>
  <si>
    <t>Adjusted allowed revenue - Wholesale Water</t>
  </si>
  <si>
    <t>PENALTY CALCULATION</t>
  </si>
  <si>
    <t>Penalty calculation</t>
  </si>
  <si>
    <t>Forecast error - Wholesale Water</t>
  </si>
  <si>
    <t>Penalty applicable - Wholesale Water</t>
  </si>
  <si>
    <t>Error magnitude - Wholesale Water</t>
  </si>
  <si>
    <t>Penalty rate (PR) - Wholesale Water</t>
  </si>
  <si>
    <t>Penalty adjustment - Wholesale Water POS</t>
  </si>
  <si>
    <t>Penalty adjustment - Wholesale Water</t>
  </si>
  <si>
    <t>Penalty adjustment - with financing adjustment - Wholesale Water</t>
  </si>
  <si>
    <t>Penalty adjustment - with financing adjustment &amp; 2 year lag of inflation - Wholesale Water</t>
  </si>
  <si>
    <t>Performance variance level check</t>
  </si>
  <si>
    <t>Performance variance level alert - Wholesale Water</t>
  </si>
  <si>
    <t>alert</t>
  </si>
  <si>
    <t>ALLOCATION OF PENALTY CALCULATION</t>
  </si>
  <si>
    <t>Allocation of the penalty adjustment to Water-N+ and Water Res controls</t>
  </si>
  <si>
    <t>Proportion of penalty allocated to Water Res</t>
  </si>
  <si>
    <t>Penalty adjustment - with financing adjustment &amp; 2 year lag of inflation - Water-N+</t>
  </si>
  <si>
    <t>Penalty adjustment - with financing adjustment &amp; 2 year lag of inflation - Water Res</t>
  </si>
  <si>
    <t>RFI CALCULATION</t>
  </si>
  <si>
    <t>AMP7 forecasting incentive adjustment including over / under recovery true up - Water-N+</t>
  </si>
  <si>
    <t>RFI - Water-N+</t>
  </si>
  <si>
    <t>2 PD LK BCK</t>
  </si>
  <si>
    <t>AMP7 forecasting incentive adjustment including over / under recovery true up - Water Res</t>
  </si>
  <si>
    <t>RFI - Water Res</t>
  </si>
  <si>
    <t>APPLICATION OF ADJUSTMENTS IN LAST TWO YEARS AT THE END OF AMP7</t>
  </si>
  <si>
    <t>BEA calculation for adjustments</t>
  </si>
  <si>
    <t>Bilateral entry adjustment (BEA)</t>
  </si>
  <si>
    <t>Year 4 - One year of CPIH and financing costs adjustments applied - Water-N+</t>
  </si>
  <si>
    <t>Penalty adjustment - Water-N+</t>
  </si>
  <si>
    <t>Value of year 4 main revenue adjustment at the end of AMP7 - Water-N+</t>
  </si>
  <si>
    <t>Value of year 4 penalty adjustment at the end of AMP7 - Water-N+</t>
  </si>
  <si>
    <t>Value of year 4 RFI adjustments at the end of AMP7 - Water-N+</t>
  </si>
  <si>
    <t>Year 4 - One year of CPIH and financing costs adjustments applied - Water Res</t>
  </si>
  <si>
    <t>Penalty adjustment - Water Res</t>
  </si>
  <si>
    <t>Value of year 4 main revenue and BEA adjustment at the end of AMP7 - Water Res</t>
  </si>
  <si>
    <t>Value of year 4 penalty adjustment at the end of AMP7 - Water Res</t>
  </si>
  <si>
    <t>Value of year 4 RFI adjustments at the end of AMP7 - Water Res</t>
  </si>
  <si>
    <t>Year 5 - No CPIH and financing costs adjustments applied - Water-N+</t>
  </si>
  <si>
    <t>Value of year 5 RFI adjustments at the end of AMP7 - Water-N+</t>
  </si>
  <si>
    <t>Year 5 - No CPIH and financing costs adjustments applied - Water Res</t>
  </si>
  <si>
    <t>Value of year 5 RFI adjustments at the end of AMP7 - Water Res</t>
  </si>
  <si>
    <t>Total adjustments at the end of AMP7</t>
  </si>
  <si>
    <t>Total adjustment at the end of AMP7 - Water-N+</t>
  </si>
  <si>
    <t>Total adjustment at the end of AMP7 - Water Res</t>
  </si>
  <si>
    <t>Allowed Revenue: Wastewater Network-plus</t>
  </si>
  <si>
    <t>Blind year adjustment (profiled) - WW-N+ (base year 2019/20)</t>
  </si>
  <si>
    <t>Blind year adjustment inc. financing rate adjustment - WW-N+ (base year 2019/2020)</t>
  </si>
  <si>
    <r>
      <t xml:space="preserve">Blind year adjustment inc. financing rate and inflation adjustment </t>
    </r>
    <r>
      <rPr>
        <b/>
        <sz val="10"/>
        <color rgb="FF000000"/>
        <rFont val="Arial"/>
        <family val="2"/>
      </rPr>
      <t>(BYA)</t>
    </r>
    <r>
      <rPr>
        <sz val="10"/>
        <color rgb="FF000000"/>
        <rFont val="Arial"/>
        <family val="2"/>
      </rPr>
      <t xml:space="preserve"> - WW-N+</t>
    </r>
  </si>
  <si>
    <t>Main revenue over / under recovery</t>
  </si>
  <si>
    <t>Adjusted allowed revenue - WW-N+</t>
  </si>
  <si>
    <t xml:space="preserve">Revenue Imbalance  - WW-N+ </t>
  </si>
  <si>
    <t>Main revenue adjustment</t>
  </si>
  <si>
    <t>Main revenue adjustment - with financing adjustment - WW-N+</t>
  </si>
  <si>
    <t>Main revenue adjustment - with financing adjustment &amp; 2 year lag of inflation - WW-N+</t>
  </si>
  <si>
    <t>Forecast error - WW-N+</t>
  </si>
  <si>
    <t>Penalty applicable - WW-N+</t>
  </si>
  <si>
    <t>Error magnitude - WW-N+</t>
  </si>
  <si>
    <t>Penalty rate (PR) - WW-N+</t>
  </si>
  <si>
    <t>Penalty adjustment - WW-N+ POS</t>
  </si>
  <si>
    <t>Penalty adjustment - WW-N+</t>
  </si>
  <si>
    <t>Penalty adjustment - with financing adjustment - WW-N+</t>
  </si>
  <si>
    <t>Penalty adjustment - with financing adjustment &amp; 2 year lag of inflation - WW-N+</t>
  </si>
  <si>
    <t>Performance variance level alert - WW-N+</t>
  </si>
  <si>
    <t>RFI - WW-N+</t>
  </si>
  <si>
    <t>Year 4 - One year of CPIH and financing costs adjustments applied</t>
  </si>
  <si>
    <t>Value of year 4 main revenue adjustment at the end of AMP7 - WW-N+</t>
  </si>
  <si>
    <t>Value of year 4 penalty adjustment at the end of AMP7 - WW-N+</t>
  </si>
  <si>
    <t>Value of year 4 RFI adjustments at the end of AMP7 - WW-N+</t>
  </si>
  <si>
    <t>Year 5 - No CPIH and financing costs adjustments applied</t>
  </si>
  <si>
    <t>Value of year 5 RFI adjustments at the end of AMP7 - WW-N+</t>
  </si>
  <si>
    <t>Total adjustment at the end of AMP7 - WW-N+</t>
  </si>
  <si>
    <t>Allowed Revenue: Wastewater TTT</t>
  </si>
  <si>
    <t>Blind year adjustment (profiled) - WW-TTT (base year 2019/20)</t>
  </si>
  <si>
    <t>Blind year adjustment inc. financing rate adjustment - WW-TTT (base year 2019/2020)</t>
  </si>
  <si>
    <r>
      <t xml:space="preserve">Blind year adjustment inc. financing rate and inflation adjustment </t>
    </r>
    <r>
      <rPr>
        <b/>
        <sz val="10"/>
        <color rgb="FF000000"/>
        <rFont val="Arial"/>
        <family val="2"/>
      </rPr>
      <t>(BYA)</t>
    </r>
    <r>
      <rPr>
        <sz val="10"/>
        <color rgb="FF000000"/>
        <rFont val="Arial"/>
        <family val="2"/>
      </rPr>
      <t xml:space="preserve"> - WW-TTT</t>
    </r>
  </si>
  <si>
    <t>Adjusted allowed revenue - WW-TTT</t>
  </si>
  <si>
    <t>Revenue Imbalance  - WW-TTT</t>
  </si>
  <si>
    <t>Main revenue adjustment - with financing adjustment - WW-TTT</t>
  </si>
  <si>
    <t>Main revenue adjustment - with financing adjustment &amp; 2 year lag of inflation - WW-TTT</t>
  </si>
  <si>
    <t>Forecast error - WW-TTT</t>
  </si>
  <si>
    <t>Penalty applicable - WW-TTT</t>
  </si>
  <si>
    <t>Error magnitude - WW-TTT</t>
  </si>
  <si>
    <t>Penalty rate (PR) - WW-TTT</t>
  </si>
  <si>
    <t>Penalty adjustment - WW-TTT POS</t>
  </si>
  <si>
    <t>Penalty adjustment - WW-TTT</t>
  </si>
  <si>
    <t>Penalty adjustment - with financing adjustment - WW-TTT</t>
  </si>
  <si>
    <t>Penalty adjustment - with financing adjustment &amp; 2 year lag of inflation - WW-TTT</t>
  </si>
  <si>
    <t>Performance variance level alert - WW-TTT</t>
  </si>
  <si>
    <t>RFI - WW-TTT</t>
  </si>
  <si>
    <t>Value of year 4 main revenue adjustment at the end of AMP7 - WW-TTT</t>
  </si>
  <si>
    <t>Value of year 4 penalty adjustment at the end of AMP7 - WW-TTT</t>
  </si>
  <si>
    <t>Value of year 4 RFI adjustments at the end of AMP7 - WW-TTT</t>
  </si>
  <si>
    <t>Value of year 5 RFI adjustments at the end of AMP7 - WW-TTT</t>
  </si>
  <si>
    <t>Total adjustment at the end of AMP7 - WW-TTT</t>
  </si>
  <si>
    <t>RFI ADJUSTMENT AT THE END OF AMP7</t>
  </si>
  <si>
    <t>CHECK SUMMARY</t>
  </si>
  <si>
    <t>Total Checks</t>
  </si>
  <si>
    <t>Checks</t>
  </si>
  <si>
    <t>[do not delete this row]</t>
  </si>
  <si>
    <t>[range start]</t>
  </si>
  <si>
    <t>[range ends]</t>
  </si>
  <si>
    <t>Alert Summary</t>
  </si>
  <si>
    <t>Total Alerts</t>
  </si>
  <si>
    <t>Alerts</t>
  </si>
  <si>
    <t>Thames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</si>
</sst>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000_);\(#,##0.000\);&quot;-  &quot;;&quot; &quot;@&quot; &quot;"/>
    <numFmt numFmtId="175" formatCode="###0_);\(###0\);&quot;-  &quot;;&quot; &quot;@&quot; &quot;"/>
    <numFmt numFmtId="176" formatCode="dd\ mmm\ yyyy_);\(###0\);&quot;-  &quot;;&quot; &quot;@&quot; &quot;"/>
    <numFmt numFmtId="177" formatCode="dd\ mmm\ yy_);\(###0\);&quot;-  &quot;;&quot; &quot;@&quot; &quot;"/>
    <numFmt numFmtId="178" formatCode="#,##0.00_);\(#,##0.00\);&quot;-  &quot;;&quot; &quot;@&quot; &quot;"/>
    <numFmt numFmtId="179" formatCode="###0.00_);\(###0.00\);&quot;-  &quot;;&quot; &quot;@&quot; &quot;"/>
    <numFmt numFmtId="180" formatCode="#,##0.00_);\(#,##0.00\);&quot;-  &quot;;&quot; &quot;@"/>
    <numFmt numFmtId="181" formatCode="0.0%_);\-0.0%_);&quot;-  &quot;;&quot; &quot;@&quot; &quot;"/>
    <numFmt numFmtId="182" formatCode="0%_);\-0%_);&quot;-  &quot;;&quot; &quot;@&quot; &quot;"/>
    <numFmt numFmtId="183" formatCode="dd\ mmm\ yy_);;&quot;-  &quot;;&quot; &quot;@&quot; &quot;"/>
    <numFmt numFmtId="184" formatCode="0.0"/>
    <numFmt numFmtId="185" formatCode="_(* #,##0.00_);_(* \(#,##0.00\);_(* &quot;-&quot;??_);_(@_)"/>
  </numFmts>
  <fonts count="66">
    <font>
      <sz val="10"/>
      <name val="Arial"/>
    </font>
    <font>
      <sz val="11"/>
      <color theme="1"/>
      <name val="Arial"/>
      <family val="2"/>
    </font>
    <font>
      <sz val="11"/>
      <color theme="1"/>
      <name val="Calibri"/>
      <family val="2"/>
      <scheme val="minor"/>
    </font>
    <font>
      <sz val="10"/>
      <name val="Arial"/>
      <family val="2"/>
    </font>
    <font>
      <sz val="1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u/>
      <sz val="10"/>
      <color rgb="FFFF0000"/>
      <name val="Arial"/>
      <family val="2"/>
    </font>
    <font>
      <b/>
      <sz val="10"/>
      <color theme="1"/>
      <name val="Arial"/>
      <family val="2"/>
    </font>
    <font>
      <sz val="10"/>
      <color rgb="FF000000"/>
      <name val="Arial"/>
      <family val="2"/>
    </font>
    <font>
      <b/>
      <sz val="10"/>
      <color rgb="FF000000"/>
      <name val="Arial"/>
      <family val="2"/>
    </font>
    <font>
      <u/>
      <sz val="10"/>
      <color rgb="FF000000"/>
      <name val="Arial"/>
      <family val="2"/>
    </font>
    <font>
      <b/>
      <sz val="10"/>
      <color theme="1"/>
      <name val="+mj-lt"/>
    </font>
    <font>
      <sz val="10"/>
      <color rgb="FF000000"/>
      <name val="Arial"/>
      <family val="2"/>
    </font>
    <font>
      <b/>
      <sz val="11"/>
      <color rgb="FF0000FF"/>
      <name val="Arial"/>
      <family val="2"/>
    </font>
    <font>
      <sz val="10"/>
      <color rgb="FF000000"/>
      <name val="Arial"/>
      <family val="2"/>
    </font>
    <font>
      <sz val="10"/>
      <color rgb="FF000000"/>
      <name val="Arial"/>
      <family val="2"/>
    </font>
    <font>
      <sz val="9"/>
      <name val="Arial"/>
      <family val="2"/>
    </font>
    <font>
      <sz val="10"/>
      <color theme="1"/>
      <name val="Arial"/>
      <family val="2"/>
    </font>
    <font>
      <b/>
      <sz val="22.5"/>
      <color theme="0"/>
      <name val="Franklin Gothic Demi"/>
      <family val="2"/>
    </font>
    <font>
      <sz val="12"/>
      <color theme="0"/>
      <name val="Franklin Gothic Demi"/>
      <family val="2"/>
    </font>
    <font>
      <u/>
      <sz val="11"/>
      <color theme="10"/>
      <name val="Calibri"/>
      <family val="2"/>
    </font>
    <font>
      <b/>
      <sz val="10"/>
      <color rgb="FF0000FF"/>
      <name val="Arial"/>
      <family val="2"/>
    </font>
    <font>
      <u/>
      <sz val="10"/>
      <color rgb="FF0000FF"/>
      <name val="Arial"/>
      <family val="2"/>
    </font>
    <font>
      <sz val="10"/>
      <color rgb="FF000000"/>
      <name val="Arial"/>
      <family val="2"/>
    </font>
    <font>
      <sz val="10"/>
      <color rgb="FF0000FF"/>
      <name val="Arial"/>
      <family val="2"/>
    </font>
    <font>
      <sz val="10"/>
      <color rgb="FFFF0000"/>
      <name val="Arial"/>
      <family val="2"/>
    </font>
    <font>
      <b/>
      <sz val="10"/>
      <color rgb="FF002060"/>
      <name val="Franklin Gothic Book"/>
      <family val="2"/>
    </font>
    <font>
      <sz val="10"/>
      <name val="Arial"/>
      <family val="2"/>
    </font>
    <font>
      <sz val="24"/>
      <color theme="0"/>
      <name val="Franklin Gothic Demi"/>
      <family val="2"/>
    </font>
    <font>
      <sz val="11"/>
      <color theme="1"/>
      <name val="Franklin Gothic Demi"/>
      <family val="2"/>
    </font>
    <font>
      <sz val="10"/>
      <color theme="0"/>
      <name val="Franklin Gothic Demi"/>
      <family val="2"/>
    </font>
    <font>
      <i/>
      <sz val="12"/>
      <color theme="0"/>
      <name val="Franklin Gothic Demi"/>
      <family val="2"/>
    </font>
    <font>
      <sz val="12"/>
      <color rgb="FF000000"/>
      <name val="Franklin Gothic Book"/>
      <family val="2"/>
    </font>
    <font>
      <i/>
      <sz val="12"/>
      <color rgb="FF000000"/>
      <name val="Franklin Gothic Demi"/>
      <family val="2"/>
    </font>
    <font>
      <b/>
      <sz val="20"/>
      <color theme="0"/>
      <name val="Arial"/>
      <family val="2"/>
    </font>
    <font>
      <b/>
      <u/>
      <sz val="10"/>
      <color theme="1"/>
      <name val="Arial"/>
      <family val="2"/>
    </font>
    <font>
      <sz val="20"/>
      <color theme="1"/>
      <name val="Arial"/>
      <family val="2"/>
    </font>
    <font>
      <b/>
      <sz val="10"/>
      <name val="Arial Narrow"/>
      <family val="2"/>
    </font>
    <font>
      <b/>
      <sz val="10"/>
      <color theme="0"/>
      <name val="Arial"/>
      <family val="2"/>
    </font>
    <font>
      <u/>
      <sz val="10"/>
      <color theme="0"/>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theme="0" tint="-0.14999847407452621"/>
        <bgColor indexed="64"/>
      </patternFill>
    </fill>
    <fill>
      <patternFill patternType="lightUp">
        <bgColor rgb="FF003479"/>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003479"/>
        <bgColor indexed="64"/>
      </patternFill>
    </fill>
    <fill>
      <patternFill patternType="solid">
        <fgColor rgb="FFE0DCD8"/>
        <bgColor indexed="64"/>
      </patternFill>
    </fill>
    <fill>
      <patternFill patternType="solid">
        <fgColor indexed="11"/>
        <bgColor indexed="64"/>
      </patternFill>
    </fill>
    <fill>
      <patternFill patternType="solid">
        <fgColor rgb="FF002664"/>
        <bgColor indexed="64"/>
      </patternFill>
    </fill>
    <fill>
      <patternFill patternType="solid">
        <fgColor theme="6"/>
        <bgColor indexed="64"/>
      </patternFill>
    </fill>
    <fill>
      <patternFill patternType="solid">
        <fgColor rgb="FF002060"/>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s>
  <borders count="42">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dotted">
        <color auto="1"/>
      </left>
      <right/>
      <top style="hair">
        <color auto="1"/>
      </top>
      <bottom/>
      <diagonal/>
    </border>
    <border>
      <left/>
      <right style="dotted">
        <color auto="1"/>
      </right>
      <top style="hair">
        <color auto="1"/>
      </top>
      <bottom/>
      <diagonal/>
    </border>
    <border>
      <left style="hair">
        <color auto="1"/>
      </left>
      <right/>
      <top/>
      <bottom style="dotted">
        <color auto="1"/>
      </bottom>
      <diagonal/>
    </border>
    <border>
      <left/>
      <right style="hair">
        <color indexed="64"/>
      </right>
      <top/>
      <bottom style="dotted">
        <color auto="1"/>
      </bottom>
      <diagonal/>
    </border>
  </borders>
  <cellStyleXfs count="81">
    <xf numFmtId="167" fontId="0" fillId="0" borderId="0" applyFont="0" applyFill="0" applyBorder="0" applyProtection="0">
      <alignment vertical="top"/>
    </xf>
    <xf numFmtId="170" fontId="4" fillId="0" borderId="0" applyFont="0" applyFill="0" applyBorder="0" applyProtection="0">
      <alignment vertical="top"/>
    </xf>
    <xf numFmtId="176" fontId="3" fillId="0" borderId="0" applyFont="0" applyFill="0" applyBorder="0" applyProtection="0">
      <alignment vertical="top"/>
    </xf>
    <xf numFmtId="17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64"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3" applyNumberFormat="0" applyAlignment="0" applyProtection="0"/>
    <xf numFmtId="0" fontId="20" fillId="12" borderId="14" applyNumberFormat="0" applyAlignment="0" applyProtection="0"/>
    <xf numFmtId="0" fontId="21" fillId="12" borderId="13" applyNumberFormat="0" applyAlignment="0" applyProtection="0"/>
    <xf numFmtId="0" fontId="22" fillId="0" borderId="15" applyNumberFormat="0" applyFill="0" applyAlignment="0" applyProtection="0"/>
    <xf numFmtId="0" fontId="23" fillId="13" borderId="16" applyNumberFormat="0" applyAlignment="0" applyProtection="0"/>
    <xf numFmtId="0" fontId="24" fillId="0" borderId="0" applyNumberFormat="0" applyFill="0" applyBorder="0" applyAlignment="0" applyProtection="0"/>
    <xf numFmtId="0" fontId="11" fillId="14"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7" fillId="38" borderId="0" applyNumberFormat="0" applyBorder="0" applyAlignment="0" applyProtection="0"/>
    <xf numFmtId="170" fontId="28" fillId="0" borderId="0" applyNumberFormat="0" applyFill="0" applyBorder="0" applyAlignment="0" applyProtection="0">
      <alignment vertical="top"/>
    </xf>
    <xf numFmtId="175" fontId="29" fillId="0" borderId="0" applyFont="0" applyFill="0" applyBorder="0" applyProtection="0">
      <alignment vertical="top"/>
    </xf>
    <xf numFmtId="170" fontId="3" fillId="0" borderId="0" applyFont="0" applyFill="0" applyBorder="0" applyProtection="0">
      <alignment vertical="top"/>
    </xf>
    <xf numFmtId="170" fontId="3" fillId="0" borderId="0" applyFont="0" applyFill="0" applyBorder="0" applyProtection="0">
      <alignment vertical="top"/>
    </xf>
    <xf numFmtId="0" fontId="42" fillId="45" borderId="26" applyNumberFormat="0" applyFont="0" applyAlignment="0" applyProtection="0"/>
    <xf numFmtId="167" fontId="2" fillId="0" borderId="0" applyFont="0" applyFill="0" applyBorder="0" applyProtection="0">
      <alignment vertical="top"/>
    </xf>
    <xf numFmtId="43" fontId="2" fillId="0" borderId="0" applyFont="0" applyFill="0" applyBorder="0" applyAlignment="0" applyProtection="0"/>
    <xf numFmtId="169" fontId="2" fillId="0" borderId="0" applyFont="0" applyFill="0" applyBorder="0" applyProtection="0">
      <alignment vertical="top"/>
    </xf>
    <xf numFmtId="168" fontId="2" fillId="0" borderId="0" applyFont="0" applyFill="0" applyBorder="0" applyProtection="0">
      <alignment vertical="top"/>
    </xf>
    <xf numFmtId="176" fontId="2" fillId="0" borderId="0" applyFont="0" applyFill="0" applyBorder="0" applyProtection="0">
      <alignment vertical="top"/>
    </xf>
    <xf numFmtId="175" fontId="2" fillId="0" borderId="0" applyFont="0" applyFill="0" applyBorder="0" applyProtection="0">
      <alignment vertical="top"/>
    </xf>
    <xf numFmtId="183" fontId="5" fillId="0" borderId="0" applyNumberFormat="0" applyFill="0" applyBorder="0" applyProtection="0">
      <alignment vertical="top"/>
    </xf>
    <xf numFmtId="0" fontId="6" fillId="0" borderId="0" applyNumberFormat="0" applyFill="0" applyBorder="0" applyProtection="0">
      <alignment vertical="top"/>
    </xf>
    <xf numFmtId="0" fontId="3" fillId="0" borderId="0" applyNumberFormat="0" applyFill="0" applyBorder="0" applyProtection="0">
      <alignment horizontal="right" vertical="top"/>
    </xf>
    <xf numFmtId="170" fontId="7" fillId="0" borderId="0" applyNumberFormat="0" applyProtection="0">
      <alignment vertical="top"/>
    </xf>
    <xf numFmtId="0" fontId="46" fillId="0" borderId="0" applyNumberFormat="0" applyFill="0" applyBorder="0" applyAlignment="0" applyProtection="0">
      <alignment vertical="top"/>
      <protection locked="0"/>
    </xf>
    <xf numFmtId="0" fontId="54" fillId="51" borderId="0" applyNumberFormat="0" applyBorder="0" applyAlignment="0" applyProtection="0"/>
    <xf numFmtId="0" fontId="43" fillId="0" borderId="0"/>
    <xf numFmtId="167" fontId="53" fillId="0" borderId="0" applyFont="0" applyFill="0" applyBorder="0" applyProtection="0">
      <alignment vertical="top"/>
    </xf>
    <xf numFmtId="0" fontId="28" fillId="0" borderId="0" applyNumberFormat="0" applyFill="0" applyBorder="0" applyAlignment="0" applyProtection="0"/>
    <xf numFmtId="0" fontId="55" fillId="0" borderId="0" applyNumberFormat="0" applyFill="0" applyAlignment="0" applyProtection="0"/>
    <xf numFmtId="0" fontId="56" fillId="51" borderId="0" applyNumberFormat="0" applyAlignment="0" applyProtection="0"/>
    <xf numFmtId="0" fontId="1" fillId="0" borderId="0"/>
    <xf numFmtId="170" fontId="28" fillId="0" borderId="0" applyNumberFormat="0" applyFill="0" applyBorder="0" applyAlignment="0" applyProtection="0">
      <alignment vertical="top"/>
    </xf>
    <xf numFmtId="167" fontId="43" fillId="0" borderId="0" applyFont="0" applyFill="0" applyBorder="0" applyProtection="0">
      <alignment vertical="top"/>
    </xf>
    <xf numFmtId="167" fontId="3" fillId="0" borderId="0" applyFont="0" applyFill="0" applyBorder="0" applyProtection="0">
      <alignment vertical="top"/>
    </xf>
    <xf numFmtId="0" fontId="3" fillId="0" borderId="0"/>
    <xf numFmtId="0" fontId="1" fillId="0" borderId="0"/>
    <xf numFmtId="169" fontId="2" fillId="0" borderId="0" applyFont="0" applyFill="0" applyBorder="0" applyProtection="0">
      <alignment vertical="top"/>
    </xf>
    <xf numFmtId="185" fontId="43" fillId="0" borderId="0" applyFont="0" applyFill="0" applyBorder="0" applyAlignment="0" applyProtection="0"/>
    <xf numFmtId="0" fontId="43" fillId="0" borderId="0"/>
  </cellStyleXfs>
  <cellXfs count="471">
    <xf numFmtId="167" fontId="0" fillId="0" borderId="0" xfId="0">
      <alignment vertical="top"/>
    </xf>
    <xf numFmtId="167" fontId="0" fillId="0" borderId="0" xfId="0" applyFont="1" applyAlignment="1">
      <alignment horizontal="right"/>
    </xf>
    <xf numFmtId="170" fontId="0" fillId="0" borderId="0" xfId="0" applyNumberFormat="1" applyFont="1" applyFill="1">
      <alignment vertical="top"/>
    </xf>
    <xf numFmtId="177" fontId="5" fillId="0" borderId="0" xfId="3" applyFont="1" applyBorder="1">
      <alignment vertical="top"/>
    </xf>
    <xf numFmtId="168" fontId="3" fillId="0" borderId="0" xfId="4" applyFont="1">
      <alignment vertical="top"/>
    </xf>
    <xf numFmtId="170" fontId="5" fillId="0" borderId="0" xfId="0" applyNumberFormat="1" applyFont="1" applyBorder="1">
      <alignment vertical="top"/>
    </xf>
    <xf numFmtId="167" fontId="0" fillId="0" borderId="0" xfId="0" applyFill="1">
      <alignment vertical="top"/>
    </xf>
    <xf numFmtId="177" fontId="3" fillId="0" borderId="0" xfId="3" applyFont="1" applyFill="1" applyAlignment="1">
      <alignment horizontal="left" vertical="top"/>
    </xf>
    <xf numFmtId="170" fontId="3" fillId="0" borderId="0" xfId="0" applyNumberFormat="1" applyFont="1" applyAlignment="1">
      <alignment horizontal="right" vertical="top"/>
    </xf>
    <xf numFmtId="177" fontId="3" fillId="0" borderId="0" xfId="3" applyFont="1" applyFill="1" applyAlignment="1">
      <alignment horizontal="right" vertical="top"/>
    </xf>
    <xf numFmtId="177" fontId="3" fillId="0" borderId="0" xfId="3" applyFont="1" applyFill="1">
      <alignment vertical="top"/>
    </xf>
    <xf numFmtId="173" fontId="3" fillId="0" borderId="0" xfId="0" applyNumberFormat="1" applyFont="1" applyFill="1">
      <alignment vertical="top"/>
    </xf>
    <xf numFmtId="176" fontId="3" fillId="0" borderId="0" xfId="2" applyFont="1" applyFill="1">
      <alignment vertical="top"/>
    </xf>
    <xf numFmtId="177" fontId="3" fillId="0" borderId="0" xfId="3" applyFont="1">
      <alignment vertical="top"/>
    </xf>
    <xf numFmtId="167" fontId="0" fillId="0" borderId="0" xfId="0" applyFont="1">
      <alignment vertical="top"/>
    </xf>
    <xf numFmtId="176" fontId="10" fillId="0" borderId="0" xfId="2" applyFont="1" applyFill="1">
      <alignment vertical="top"/>
    </xf>
    <xf numFmtId="176" fontId="3" fillId="0" borderId="0" xfId="2" applyFont="1" applyFill="1" applyBorder="1">
      <alignment vertical="top"/>
    </xf>
    <xf numFmtId="173" fontId="30" fillId="0" borderId="0" xfId="4" applyNumberFormat="1" applyFont="1" applyFill="1">
      <alignment vertical="top"/>
    </xf>
    <xf numFmtId="171" fontId="10" fillId="0" borderId="0" xfId="0" applyNumberFormat="1" applyFont="1">
      <alignment vertical="top"/>
    </xf>
    <xf numFmtId="168" fontId="0" fillId="0" borderId="0" xfId="4" applyFont="1">
      <alignment vertical="top"/>
    </xf>
    <xf numFmtId="170" fontId="3" fillId="0" borderId="0" xfId="0" applyNumberFormat="1" applyFont="1" applyBorder="1">
      <alignment vertical="top"/>
    </xf>
    <xf numFmtId="170" fontId="3" fillId="0" borderId="0" xfId="0" applyNumberFormat="1" applyFont="1">
      <alignment vertical="top"/>
    </xf>
    <xf numFmtId="172" fontId="3" fillId="0" borderId="0" xfId="0" applyNumberFormat="1" applyFont="1" applyFill="1">
      <alignment vertical="top"/>
    </xf>
    <xf numFmtId="173" fontId="3" fillId="0" borderId="0" xfId="0" applyNumberFormat="1" applyFont="1">
      <alignment vertical="top"/>
    </xf>
    <xf numFmtId="176" fontId="10" fillId="0" borderId="0" xfId="0" applyNumberFormat="1" applyFont="1">
      <alignment vertical="top"/>
    </xf>
    <xf numFmtId="167" fontId="8" fillId="0" borderId="0" xfId="0" applyFont="1" applyBorder="1" applyAlignment="1">
      <alignment horizontal="left" vertical="top"/>
    </xf>
    <xf numFmtId="177" fontId="3" fillId="0" borderId="0" xfId="3" applyFont="1" applyAlignment="1">
      <alignment horizontal="left" vertical="top"/>
    </xf>
    <xf numFmtId="167" fontId="3" fillId="0" borderId="0" xfId="0" applyFont="1" applyAlignment="1">
      <alignment horizontal="right"/>
    </xf>
    <xf numFmtId="176" fontId="3" fillId="0" borderId="0" xfId="2" applyFont="1" applyAlignment="1">
      <alignment horizontal="left" vertical="top"/>
    </xf>
    <xf numFmtId="172" fontId="3" fillId="0" borderId="0" xfId="0" applyNumberFormat="1" applyFont="1">
      <alignment vertical="top"/>
    </xf>
    <xf numFmtId="167" fontId="3" fillId="0" borderId="0" xfId="0" applyFont="1" applyBorder="1" applyAlignment="1">
      <alignment horizontal="right"/>
    </xf>
    <xf numFmtId="176" fontId="3" fillId="0" borderId="0" xfId="2" applyFont="1" applyBorder="1" applyAlignment="1">
      <alignment horizontal="left" vertical="top"/>
    </xf>
    <xf numFmtId="176" fontId="3" fillId="0" borderId="0" xfId="0" applyNumberFormat="1" applyFont="1">
      <alignment vertical="top"/>
    </xf>
    <xf numFmtId="169" fontId="0" fillId="0" borderId="0" xfId="5" applyFont="1">
      <alignment vertical="top"/>
    </xf>
    <xf numFmtId="178" fontId="0" fillId="0" borderId="0" xfId="0" applyNumberFormat="1" applyFill="1">
      <alignment vertical="top"/>
    </xf>
    <xf numFmtId="178" fontId="3" fillId="0" borderId="0" xfId="4" applyNumberFormat="1" applyFont="1">
      <alignment vertical="top"/>
    </xf>
    <xf numFmtId="169" fontId="10" fillId="0" borderId="0" xfId="5" applyFont="1">
      <alignment vertical="top"/>
    </xf>
    <xf numFmtId="170" fontId="3" fillId="0" borderId="0" xfId="0" applyNumberFormat="1" applyFont="1" applyFill="1" applyBorder="1">
      <alignment vertical="top"/>
    </xf>
    <xf numFmtId="169" fontId="3" fillId="0" borderId="0" xfId="5" applyFont="1">
      <alignment vertical="top"/>
    </xf>
    <xf numFmtId="169" fontId="3" fillId="0" borderId="0" xfId="5" applyFont="1" applyFill="1">
      <alignment vertical="top"/>
    </xf>
    <xf numFmtId="175" fontId="10" fillId="0" borderId="0" xfId="51" applyFont="1">
      <alignment vertical="top"/>
    </xf>
    <xf numFmtId="172" fontId="30" fillId="0" borderId="0" xfId="0" applyNumberFormat="1" applyFont="1" applyFill="1">
      <alignment vertical="top"/>
    </xf>
    <xf numFmtId="169" fontId="30" fillId="0" borderId="0" xfId="5" applyFont="1" applyFill="1">
      <alignment vertical="top"/>
    </xf>
    <xf numFmtId="169" fontId="10" fillId="0" borderId="0" xfId="5" applyFont="1" applyFill="1">
      <alignment vertical="top"/>
    </xf>
    <xf numFmtId="178" fontId="3" fillId="0" borderId="0" xfId="4" applyNumberFormat="1" applyFont="1" applyFill="1">
      <alignment vertical="top"/>
    </xf>
    <xf numFmtId="167" fontId="10" fillId="0" borderId="0" xfId="4" applyNumberFormat="1" applyFont="1">
      <alignment vertical="top"/>
    </xf>
    <xf numFmtId="167" fontId="31" fillId="0" borderId="0" xfId="0" applyFont="1">
      <alignment vertical="top"/>
    </xf>
    <xf numFmtId="167" fontId="32" fillId="0" borderId="0" xfId="0" applyFont="1">
      <alignment vertical="top"/>
    </xf>
    <xf numFmtId="171" fontId="3" fillId="0" borderId="0" xfId="0" applyNumberFormat="1" applyFont="1" applyFill="1">
      <alignment vertical="top"/>
    </xf>
    <xf numFmtId="170" fontId="5" fillId="0" borderId="0" xfId="0" applyNumberFormat="1" applyFont="1" applyFill="1" applyBorder="1">
      <alignment vertical="top"/>
    </xf>
    <xf numFmtId="167" fontId="5" fillId="0" borderId="0" xfId="0" applyFont="1" applyBorder="1" applyAlignment="1">
      <alignment horizontal="right" vertical="top"/>
    </xf>
    <xf numFmtId="178" fontId="5" fillId="0" borderId="0" xfId="0" applyNumberFormat="1" applyFont="1">
      <alignment vertical="top"/>
    </xf>
    <xf numFmtId="178" fontId="6" fillId="0" borderId="0" xfId="0" applyNumberFormat="1" applyFont="1" applyFill="1">
      <alignment vertical="top"/>
    </xf>
    <xf numFmtId="178" fontId="6" fillId="0" borderId="0" xfId="0" applyNumberFormat="1" applyFont="1">
      <alignment vertical="top"/>
    </xf>
    <xf numFmtId="178" fontId="5" fillId="0" borderId="0" xfId="0" applyNumberFormat="1" applyFont="1" applyFill="1">
      <alignment vertical="top"/>
    </xf>
    <xf numFmtId="167" fontId="30" fillId="0" borderId="0" xfId="0" applyFont="1" applyFill="1">
      <alignment vertical="top"/>
    </xf>
    <xf numFmtId="167" fontId="6" fillId="0" borderId="0" xfId="0" applyFont="1" applyBorder="1" applyAlignment="1">
      <alignment horizontal="right" vertical="top"/>
    </xf>
    <xf numFmtId="167" fontId="3" fillId="0" borderId="0" xfId="0" applyFont="1">
      <alignment vertical="top"/>
    </xf>
    <xf numFmtId="167" fontId="3" fillId="0" borderId="0" xfId="0" applyFont="1" applyFill="1" applyBorder="1">
      <alignment vertical="top"/>
    </xf>
    <xf numFmtId="168" fontId="30" fillId="0" borderId="0" xfId="4" applyFont="1">
      <alignment vertical="top"/>
    </xf>
    <xf numFmtId="168" fontId="5" fillId="0" borderId="0" xfId="4" applyFont="1">
      <alignment vertical="top"/>
    </xf>
    <xf numFmtId="167" fontId="3" fillId="0" borderId="0" xfId="0" applyFont="1" applyAlignment="1">
      <alignment horizontal="right" vertical="top"/>
    </xf>
    <xf numFmtId="167" fontId="6" fillId="0" borderId="0" xfId="0" applyFont="1" applyFill="1">
      <alignment vertical="top"/>
    </xf>
    <xf numFmtId="167" fontId="5" fillId="0" borderId="0" xfId="0" applyFont="1">
      <alignment vertical="top"/>
    </xf>
    <xf numFmtId="167" fontId="5" fillId="0" borderId="0" xfId="0" applyFont="1" applyFill="1">
      <alignment vertical="top"/>
    </xf>
    <xf numFmtId="178" fontId="3" fillId="41" borderId="0" xfId="0" applyNumberFormat="1" applyFont="1" applyFill="1">
      <alignment vertical="top"/>
    </xf>
    <xf numFmtId="167" fontId="35" fillId="0" borderId="0" xfId="0" applyFont="1">
      <alignment vertical="top"/>
    </xf>
    <xf numFmtId="169" fontId="34" fillId="0" borderId="0" xfId="5" applyFont="1" applyFill="1">
      <alignment vertical="top"/>
    </xf>
    <xf numFmtId="167" fontId="3" fillId="41" borderId="0" xfId="0" applyFont="1" applyFill="1" applyAlignment="1">
      <alignment horizontal="right" vertical="top"/>
    </xf>
    <xf numFmtId="175" fontId="3" fillId="41" borderId="0" xfId="51" applyFont="1" applyFill="1">
      <alignment vertical="top"/>
    </xf>
    <xf numFmtId="178" fontId="34" fillId="0" borderId="0" xfId="0" applyNumberFormat="1" applyFont="1">
      <alignment vertical="top"/>
    </xf>
    <xf numFmtId="167" fontId="34" fillId="0" borderId="0" xfId="0" applyFont="1" applyAlignment="1">
      <alignment horizontal="right" vertical="top"/>
    </xf>
    <xf numFmtId="169" fontId="34" fillId="0" borderId="0" xfId="5" applyFont="1">
      <alignment vertical="top"/>
    </xf>
    <xf numFmtId="167" fontId="36" fillId="0" borderId="0" xfId="0" applyFont="1">
      <alignment vertical="top"/>
    </xf>
    <xf numFmtId="167" fontId="34" fillId="0" borderId="0" xfId="0" applyFont="1">
      <alignment vertical="top"/>
    </xf>
    <xf numFmtId="167" fontId="34" fillId="0" borderId="0" xfId="0" applyFont="1" applyFill="1" applyAlignment="1">
      <alignment horizontal="right" vertical="top"/>
    </xf>
    <xf numFmtId="1" fontId="3" fillId="0" borderId="0" xfId="5" applyNumberFormat="1" applyFont="1" applyFill="1" applyAlignment="1" applyProtection="1">
      <alignment vertical="center"/>
    </xf>
    <xf numFmtId="1" fontId="3" fillId="0" borderId="0" xfId="5" applyNumberFormat="1" applyFont="1" applyFill="1" applyBorder="1" applyAlignment="1" applyProtection="1">
      <alignment horizontal="left" vertical="center"/>
    </xf>
    <xf numFmtId="1" fontId="8" fillId="0" borderId="0" xfId="5" applyNumberFormat="1" applyFont="1" applyFill="1" applyBorder="1" applyAlignment="1" applyProtection="1">
      <alignment horizontal="left" vertical="center"/>
    </xf>
    <xf numFmtId="1" fontId="3" fillId="0" borderId="0" xfId="5" applyNumberFormat="1" applyFont="1" applyFill="1" applyBorder="1" applyAlignment="1" applyProtection="1">
      <alignment horizontal="center" vertical="center"/>
    </xf>
    <xf numFmtId="1" fontId="3" fillId="0" borderId="0" xfId="5" applyNumberFormat="1" applyFont="1" applyFill="1" applyAlignment="1" applyProtection="1">
      <alignment horizontal="left" vertical="center" indent="1"/>
    </xf>
    <xf numFmtId="168" fontId="10" fillId="0" borderId="0" xfId="4" applyFont="1" applyFill="1">
      <alignment vertical="top"/>
    </xf>
    <xf numFmtId="167" fontId="34" fillId="0" borderId="0" xfId="0" applyFont="1" applyBorder="1">
      <alignment vertical="top"/>
    </xf>
    <xf numFmtId="178" fontId="34" fillId="0" borderId="0" xfId="4" applyNumberFormat="1" applyFont="1">
      <alignment vertical="top"/>
    </xf>
    <xf numFmtId="167" fontId="33" fillId="0" borderId="0" xfId="0" applyFont="1" applyFill="1">
      <alignment vertical="top"/>
    </xf>
    <xf numFmtId="168" fontId="34" fillId="0" borderId="0" xfId="4" applyFont="1" applyFill="1">
      <alignment vertical="top"/>
    </xf>
    <xf numFmtId="178" fontId="34" fillId="0" borderId="0" xfId="4" applyNumberFormat="1" applyFont="1" applyFill="1">
      <alignment vertical="top"/>
    </xf>
    <xf numFmtId="177" fontId="30" fillId="0" borderId="0" xfId="3" applyFont="1">
      <alignment vertical="top"/>
    </xf>
    <xf numFmtId="177" fontId="31" fillId="0" borderId="0" xfId="3" applyFont="1" applyFill="1">
      <alignment vertical="top"/>
    </xf>
    <xf numFmtId="177" fontId="30" fillId="0" borderId="0" xfId="3" applyFont="1" applyFill="1">
      <alignment vertical="top"/>
    </xf>
    <xf numFmtId="167" fontId="5" fillId="0" borderId="0" xfId="0" applyFont="1" applyFill="1" applyBorder="1">
      <alignment vertical="top"/>
    </xf>
    <xf numFmtId="167" fontId="6" fillId="0" borderId="0" xfId="0" applyFont="1" applyFill="1" applyBorder="1">
      <alignment vertical="top"/>
    </xf>
    <xf numFmtId="170" fontId="3" fillId="0" borderId="0" xfId="0" applyNumberFormat="1" applyFont="1" applyFill="1">
      <alignment vertical="top"/>
    </xf>
    <xf numFmtId="178" fontId="3" fillId="0" borderId="0" xfId="0" applyNumberFormat="1" applyFont="1" applyFill="1">
      <alignment vertical="top"/>
    </xf>
    <xf numFmtId="178" fontId="3" fillId="0" borderId="0" xfId="0" applyNumberFormat="1" applyFont="1">
      <alignment vertical="top"/>
    </xf>
    <xf numFmtId="178" fontId="3" fillId="0" borderId="0" xfId="0" applyNumberFormat="1" applyFont="1" applyFill="1" applyBorder="1">
      <alignment vertical="top"/>
    </xf>
    <xf numFmtId="178" fontId="10" fillId="0" borderId="0" xfId="0" applyNumberFormat="1" applyFont="1" applyFill="1">
      <alignment vertical="top"/>
    </xf>
    <xf numFmtId="167" fontId="30" fillId="0" borderId="0" xfId="0" applyFont="1">
      <alignment vertical="top"/>
    </xf>
    <xf numFmtId="167" fontId="10" fillId="0" borderId="0" xfId="0" applyFont="1" applyFill="1">
      <alignment vertical="top"/>
    </xf>
    <xf numFmtId="167" fontId="5" fillId="0" borderId="19" xfId="0" applyFont="1" applyBorder="1">
      <alignment vertical="top"/>
    </xf>
    <xf numFmtId="167" fontId="3" fillId="0" borderId="19" xfId="0" applyFont="1" applyBorder="1">
      <alignment vertical="top"/>
    </xf>
    <xf numFmtId="167" fontId="3" fillId="0" borderId="0" xfId="0" applyFont="1" applyFill="1">
      <alignment vertical="top"/>
    </xf>
    <xf numFmtId="171" fontId="5" fillId="0" borderId="0" xfId="0" applyNumberFormat="1" applyFont="1">
      <alignment vertical="top"/>
    </xf>
    <xf numFmtId="171" fontId="6" fillId="0" borderId="0" xfId="0" applyNumberFormat="1" applyFont="1">
      <alignment vertical="top"/>
    </xf>
    <xf numFmtId="171" fontId="3" fillId="0" borderId="0" xfId="0" applyNumberFormat="1" applyFont="1">
      <alignment vertical="top"/>
    </xf>
    <xf numFmtId="170" fontId="5" fillId="0" borderId="0" xfId="0" applyNumberFormat="1" applyFont="1" applyFill="1">
      <alignment vertical="top"/>
    </xf>
    <xf numFmtId="178" fontId="3" fillId="0" borderId="0" xfId="0" applyNumberFormat="1" applyFont="1" applyBorder="1">
      <alignment vertical="top"/>
    </xf>
    <xf numFmtId="168" fontId="6" fillId="0" borderId="0" xfId="4" applyFont="1">
      <alignment vertical="top"/>
    </xf>
    <xf numFmtId="167" fontId="5" fillId="39" borderId="0" xfId="0" applyFont="1" applyFill="1" applyBorder="1" applyAlignment="1">
      <alignment horizontal="left" vertical="top"/>
    </xf>
    <xf numFmtId="167" fontId="3" fillId="0" borderId="0" xfId="0" applyFont="1" applyBorder="1">
      <alignment vertical="top"/>
    </xf>
    <xf numFmtId="167" fontId="6" fillId="0" borderId="0" xfId="0" applyFont="1">
      <alignment vertical="top"/>
    </xf>
    <xf numFmtId="167" fontId="6" fillId="0" borderId="0" xfId="0" applyFont="1" applyBorder="1">
      <alignment vertical="top"/>
    </xf>
    <xf numFmtId="178" fontId="10" fillId="0" borderId="0" xfId="0" applyNumberFormat="1" applyFont="1">
      <alignment vertical="top"/>
    </xf>
    <xf numFmtId="167" fontId="10" fillId="0" borderId="0" xfId="0" applyFont="1">
      <alignment vertical="top"/>
    </xf>
    <xf numFmtId="167" fontId="3" fillId="39" borderId="0" xfId="0" applyFont="1" applyFill="1" applyBorder="1">
      <alignment vertical="top"/>
    </xf>
    <xf numFmtId="167" fontId="5" fillId="39" borderId="0" xfId="0" applyFont="1" applyFill="1" applyBorder="1">
      <alignment vertical="top"/>
    </xf>
    <xf numFmtId="168" fontId="35" fillId="0" borderId="0" xfId="4" applyFont="1" applyFill="1">
      <alignment vertical="top"/>
    </xf>
    <xf numFmtId="168" fontId="36" fillId="0" borderId="0" xfId="4" applyFont="1" applyFill="1">
      <alignment vertical="top"/>
    </xf>
    <xf numFmtId="167" fontId="33" fillId="41" borderId="0" xfId="0" applyFont="1" applyFill="1">
      <alignment vertical="top"/>
    </xf>
    <xf numFmtId="167" fontId="33" fillId="41" borderId="0" xfId="0" applyFont="1" applyFill="1" applyAlignment="1">
      <alignment wrapText="1"/>
    </xf>
    <xf numFmtId="0" fontId="37" fillId="41" borderId="0" xfId="0" applyNumberFormat="1" applyFont="1" applyFill="1" applyAlignment="1">
      <alignment horizontal="left" vertical="center" wrapText="1"/>
    </xf>
    <xf numFmtId="167" fontId="33" fillId="41" borderId="0" xfId="0" applyFont="1" applyFill="1" applyAlignment="1">
      <alignment vertical="top" wrapText="1"/>
    </xf>
    <xf numFmtId="167" fontId="38" fillId="0" borderId="0" xfId="0" applyFont="1">
      <alignment vertical="top"/>
    </xf>
    <xf numFmtId="167" fontId="38" fillId="0" borderId="0" xfId="0" applyFont="1" applyFill="1">
      <alignment vertical="top"/>
    </xf>
    <xf numFmtId="168" fontId="38" fillId="0" borderId="0" xfId="4" applyFont="1" applyFill="1">
      <alignment vertical="top"/>
    </xf>
    <xf numFmtId="174" fontId="5" fillId="0" borderId="0" xfId="4" applyNumberFormat="1" applyFont="1" applyFill="1">
      <alignment vertical="top"/>
    </xf>
    <xf numFmtId="174" fontId="5" fillId="0" borderId="0" xfId="4" applyNumberFormat="1" applyFont="1">
      <alignment vertical="top"/>
    </xf>
    <xf numFmtId="174" fontId="6" fillId="0" borderId="0" xfId="4" applyNumberFormat="1" applyFont="1" applyFill="1">
      <alignment vertical="top"/>
    </xf>
    <xf numFmtId="174" fontId="3" fillId="0" borderId="0" xfId="4" applyNumberFormat="1" applyFont="1">
      <alignment vertical="top"/>
    </xf>
    <xf numFmtId="167" fontId="34" fillId="0" borderId="0" xfId="0" applyFont="1" applyFill="1">
      <alignment vertical="top"/>
    </xf>
    <xf numFmtId="167" fontId="33" fillId="0" borderId="0" xfId="0" applyFont="1" applyAlignment="1">
      <alignment horizontal="left"/>
    </xf>
    <xf numFmtId="176" fontId="3" fillId="0" borderId="0" xfId="2" applyFont="1">
      <alignment vertical="top"/>
    </xf>
    <xf numFmtId="170" fontId="3" fillId="0" borderId="0" xfId="0" applyNumberFormat="1" applyFont="1" applyFill="1" applyBorder="1" applyAlignment="1">
      <alignment horizontal="right"/>
    </xf>
    <xf numFmtId="167" fontId="3" fillId="40" borderId="25" xfId="0" applyFont="1" applyFill="1" applyBorder="1">
      <alignment vertical="top"/>
    </xf>
    <xf numFmtId="167" fontId="3" fillId="39" borderId="25" xfId="0" applyFont="1" applyFill="1" applyBorder="1">
      <alignment vertical="top"/>
    </xf>
    <xf numFmtId="167" fontId="3" fillId="41" borderId="25" xfId="0" applyFont="1" applyFill="1" applyBorder="1">
      <alignment vertical="top"/>
    </xf>
    <xf numFmtId="169" fontId="36" fillId="0" borderId="0" xfId="5" applyFont="1">
      <alignment vertical="top"/>
    </xf>
    <xf numFmtId="176" fontId="10" fillId="0" borderId="0" xfId="2" applyFont="1">
      <alignment vertical="top"/>
    </xf>
    <xf numFmtId="178" fontId="3" fillId="0" borderId="0" xfId="0" applyNumberFormat="1" applyFont="1" applyFill="1" applyAlignment="1">
      <alignment horizontal="right" vertical="top"/>
    </xf>
    <xf numFmtId="175" fontId="5" fillId="0" borderId="0" xfId="51" applyFont="1" applyFill="1" applyBorder="1">
      <alignment vertical="top"/>
    </xf>
    <xf numFmtId="175" fontId="6" fillId="0" borderId="0" xfId="51" applyFont="1" applyFill="1" applyBorder="1">
      <alignment vertical="top"/>
    </xf>
    <xf numFmtId="175" fontId="3" fillId="0" borderId="0" xfId="51" applyFont="1" applyFill="1" applyBorder="1">
      <alignment vertical="top"/>
    </xf>
    <xf numFmtId="175" fontId="0" fillId="0" borderId="0" xfId="51" applyFont="1">
      <alignment vertical="top"/>
    </xf>
    <xf numFmtId="167" fontId="39" fillId="41" borderId="6" xfId="0" applyFont="1" applyFill="1" applyBorder="1" applyAlignment="1">
      <alignment horizontal="center" vertical="center"/>
    </xf>
    <xf numFmtId="173" fontId="10" fillId="0" borderId="0" xfId="0" applyNumberFormat="1" applyFont="1">
      <alignment vertical="top"/>
    </xf>
    <xf numFmtId="169" fontId="3" fillId="0" borderId="0" xfId="5" applyFont="1" applyFill="1" applyBorder="1">
      <alignment vertical="top"/>
    </xf>
    <xf numFmtId="178" fontId="35" fillId="0" borderId="0" xfId="0" applyNumberFormat="1" applyFont="1" applyFill="1">
      <alignment vertical="top"/>
    </xf>
    <xf numFmtId="178" fontId="36" fillId="0" borderId="0" xfId="0" applyNumberFormat="1" applyFont="1" applyFill="1">
      <alignment vertical="top"/>
    </xf>
    <xf numFmtId="178" fontId="34" fillId="0" borderId="0" xfId="0" applyNumberFormat="1" applyFont="1" applyFill="1">
      <alignment vertical="top"/>
    </xf>
    <xf numFmtId="178" fontId="38" fillId="0" borderId="0" xfId="0" applyNumberFormat="1" applyFont="1" applyFill="1">
      <alignment vertical="top"/>
    </xf>
    <xf numFmtId="169" fontId="3" fillId="0" borderId="0" xfId="0" applyNumberFormat="1" applyFont="1" applyFill="1">
      <alignment vertical="top"/>
    </xf>
    <xf numFmtId="167" fontId="35" fillId="0" borderId="0" xfId="0" applyFont="1" applyFill="1" applyBorder="1">
      <alignment vertical="top"/>
    </xf>
    <xf numFmtId="167" fontId="36" fillId="0" borderId="0" xfId="0" applyFont="1" applyFill="1" applyBorder="1">
      <alignment vertical="top"/>
    </xf>
    <xf numFmtId="167" fontId="34" fillId="0" borderId="0" xfId="0" applyFont="1" applyFill="1" applyBorder="1">
      <alignment vertical="top"/>
    </xf>
    <xf numFmtId="167" fontId="40" fillId="0" borderId="0" xfId="0" applyFont="1">
      <alignment vertical="top"/>
    </xf>
    <xf numFmtId="170" fontId="34" fillId="0" borderId="0" xfId="53" applyFont="1" applyFill="1" applyBorder="1">
      <alignment vertical="top"/>
    </xf>
    <xf numFmtId="180" fontId="3" fillId="0" borderId="0" xfId="4" applyNumberFormat="1" applyFont="1">
      <alignment vertical="top"/>
    </xf>
    <xf numFmtId="171" fontId="3" fillId="0" borderId="0" xfId="0" applyNumberFormat="1" applyFont="1" applyFill="1" applyBorder="1">
      <alignment vertical="top"/>
    </xf>
    <xf numFmtId="167" fontId="3" fillId="44" borderId="0" xfId="0" applyFont="1" applyFill="1" applyBorder="1">
      <alignment vertical="top"/>
    </xf>
    <xf numFmtId="167" fontId="3" fillId="0" borderId="0" xfId="0" applyFont="1" applyFill="1" applyAlignment="1">
      <alignment horizontal="right" vertical="top"/>
    </xf>
    <xf numFmtId="167" fontId="5" fillId="0" borderId="0" xfId="0" applyFont="1" applyBorder="1">
      <alignment vertical="top"/>
    </xf>
    <xf numFmtId="167" fontId="3" fillId="0" borderId="0" xfId="0" applyFont="1" applyBorder="1" applyAlignment="1">
      <alignment horizontal="right" vertical="top"/>
    </xf>
    <xf numFmtId="170" fontId="36" fillId="0" borderId="0" xfId="53" applyFont="1" applyFill="1">
      <alignment vertical="top"/>
    </xf>
    <xf numFmtId="170" fontId="34" fillId="0" borderId="0" xfId="53" applyFont="1" applyAlignment="1">
      <alignment horizontal="right" vertical="top"/>
    </xf>
    <xf numFmtId="170" fontId="34" fillId="0" borderId="0" xfId="53" applyFont="1">
      <alignment vertical="top"/>
    </xf>
    <xf numFmtId="180" fontId="34" fillId="0" borderId="0" xfId="53" applyNumberFormat="1" applyFont="1">
      <alignment vertical="top"/>
    </xf>
    <xf numFmtId="167" fontId="35" fillId="0" borderId="0" xfId="0" applyFont="1" applyFill="1">
      <alignment vertical="top"/>
    </xf>
    <xf numFmtId="167" fontId="36" fillId="0" borderId="0" xfId="0" applyFont="1" applyFill="1">
      <alignment vertical="top"/>
    </xf>
    <xf numFmtId="170" fontId="35" fillId="0" borderId="0" xfId="53" applyFont="1">
      <alignment vertical="top"/>
    </xf>
    <xf numFmtId="180" fontId="3" fillId="0" borderId="0" xfId="0" applyNumberFormat="1" applyFont="1">
      <alignment vertical="top"/>
    </xf>
    <xf numFmtId="178" fontId="10" fillId="0" borderId="0" xfId="4" applyNumberFormat="1" applyFont="1">
      <alignment vertical="top"/>
    </xf>
    <xf numFmtId="178" fontId="10" fillId="0" borderId="0" xfId="4" applyNumberFormat="1" applyFont="1" applyBorder="1">
      <alignment vertical="top"/>
    </xf>
    <xf numFmtId="174" fontId="0" fillId="0" borderId="0" xfId="4" applyNumberFormat="1" applyFont="1" applyFill="1">
      <alignment vertical="top"/>
    </xf>
    <xf numFmtId="174" fontId="34" fillId="0" borderId="0" xfId="4" applyNumberFormat="1" applyFont="1" applyFill="1">
      <alignment vertical="top"/>
    </xf>
    <xf numFmtId="167" fontId="0" fillId="0" borderId="0" xfId="0" applyFont="1" applyFill="1">
      <alignment vertical="top"/>
    </xf>
    <xf numFmtId="167" fontId="0" fillId="0" borderId="0" xfId="0" applyFill="1" applyBorder="1">
      <alignment vertical="top"/>
    </xf>
    <xf numFmtId="167" fontId="41" fillId="0" borderId="0" xfId="0" applyFont="1">
      <alignment vertical="top"/>
    </xf>
    <xf numFmtId="176" fontId="34" fillId="0" borderId="0" xfId="2" applyFont="1">
      <alignment vertical="top"/>
    </xf>
    <xf numFmtId="175" fontId="34" fillId="0" borderId="0" xfId="51" applyFont="1">
      <alignment vertical="top"/>
    </xf>
    <xf numFmtId="167" fontId="30" fillId="0" borderId="0" xfId="0" applyFont="1" applyAlignment="1">
      <alignment horizontal="right" vertical="top"/>
    </xf>
    <xf numFmtId="167" fontId="36" fillId="0" borderId="0" xfId="0" applyFont="1" applyBorder="1">
      <alignment vertical="top"/>
    </xf>
    <xf numFmtId="167" fontId="34" fillId="0" borderId="0" xfId="0" applyFont="1" applyBorder="1" applyAlignment="1">
      <alignment horizontal="right" vertical="top"/>
    </xf>
    <xf numFmtId="178" fontId="34" fillId="0" borderId="0" xfId="4" applyNumberFormat="1" applyFont="1" applyBorder="1">
      <alignment vertical="top"/>
    </xf>
    <xf numFmtId="178" fontId="5" fillId="0" borderId="0" xfId="0" applyNumberFormat="1" applyFont="1" applyFill="1" applyBorder="1">
      <alignment vertical="top"/>
    </xf>
    <xf numFmtId="178" fontId="6" fillId="0" borderId="0" xfId="0" applyNumberFormat="1" applyFont="1" applyFill="1" applyBorder="1">
      <alignment vertical="top"/>
    </xf>
    <xf numFmtId="180" fontId="34" fillId="0" borderId="0" xfId="53" applyNumberFormat="1" applyFont="1" applyFill="1">
      <alignment vertical="top"/>
    </xf>
    <xf numFmtId="178" fontId="30" fillId="0" borderId="0" xfId="0" applyNumberFormat="1" applyFont="1" applyFill="1" applyBorder="1">
      <alignment vertical="top"/>
    </xf>
    <xf numFmtId="167" fontId="3" fillId="44" borderId="0" xfId="0" applyFont="1" applyFill="1" applyAlignment="1">
      <alignment horizontal="right" vertical="top"/>
    </xf>
    <xf numFmtId="167" fontId="33" fillId="46" borderId="0" xfId="0" applyFont="1" applyFill="1">
      <alignment vertical="top"/>
    </xf>
    <xf numFmtId="167" fontId="33" fillId="46" borderId="0" xfId="0" applyFont="1" applyFill="1" applyAlignment="1">
      <alignment wrapText="1"/>
    </xf>
    <xf numFmtId="0" fontId="37" fillId="46" borderId="0" xfId="0" applyNumberFormat="1" applyFont="1" applyFill="1" applyAlignment="1">
      <alignment horizontal="left" vertical="center" wrapText="1"/>
    </xf>
    <xf numFmtId="167" fontId="33" fillId="46" borderId="0" xfId="0" applyFont="1" applyFill="1" applyAlignment="1">
      <alignment vertical="top" wrapText="1"/>
    </xf>
    <xf numFmtId="180" fontId="10" fillId="0" borderId="0" xfId="53" applyNumberFormat="1" applyFont="1" applyFill="1">
      <alignment vertical="top"/>
    </xf>
    <xf numFmtId="180" fontId="3" fillId="0" borderId="0" xfId="53" applyNumberFormat="1" applyFont="1" applyFill="1">
      <alignment vertical="top"/>
    </xf>
    <xf numFmtId="181" fontId="30" fillId="0" borderId="0" xfId="5" applyNumberFormat="1" applyFont="1" applyFill="1">
      <alignment vertical="top"/>
    </xf>
    <xf numFmtId="181" fontId="0" fillId="0" borderId="0" xfId="5" applyNumberFormat="1" applyFont="1">
      <alignment vertical="top"/>
    </xf>
    <xf numFmtId="181" fontId="5" fillId="0" borderId="0" xfId="5" applyNumberFormat="1" applyFont="1">
      <alignment vertical="top"/>
    </xf>
    <xf numFmtId="181" fontId="6" fillId="0" borderId="0" xfId="5" applyNumberFormat="1" applyFont="1">
      <alignment vertical="top"/>
    </xf>
    <xf numFmtId="181" fontId="3" fillId="0" borderId="0" xfId="5" applyNumberFormat="1" applyFont="1">
      <alignment vertical="top"/>
    </xf>
    <xf numFmtId="181" fontId="31" fillId="0" borderId="0" xfId="5" applyNumberFormat="1" applyFont="1" applyFill="1">
      <alignment vertical="top"/>
    </xf>
    <xf numFmtId="181" fontId="32" fillId="0" borderId="0" xfId="5" applyNumberFormat="1" applyFont="1" applyFill="1">
      <alignment vertical="top"/>
    </xf>
    <xf numFmtId="180" fontId="3" fillId="0" borderId="0" xfId="53" applyNumberFormat="1" applyFont="1">
      <alignment vertical="top"/>
    </xf>
    <xf numFmtId="167" fontId="35" fillId="0" borderId="0" xfId="0" applyFont="1" applyBorder="1">
      <alignment vertical="top"/>
    </xf>
    <xf numFmtId="178" fontId="10" fillId="0" borderId="0" xfId="0" applyNumberFormat="1" applyFont="1" applyFill="1" applyBorder="1">
      <alignment vertical="top"/>
    </xf>
    <xf numFmtId="171" fontId="10" fillId="0" borderId="0" xfId="0" applyNumberFormat="1" applyFont="1" applyFill="1">
      <alignment vertical="top"/>
    </xf>
    <xf numFmtId="174" fontId="3" fillId="0" borderId="0" xfId="4" applyNumberFormat="1" applyFont="1" applyFill="1">
      <alignment vertical="top"/>
    </xf>
    <xf numFmtId="180" fontId="3" fillId="0" borderId="0" xfId="4" applyNumberFormat="1" applyFont="1" applyFill="1">
      <alignment vertical="top"/>
    </xf>
    <xf numFmtId="175" fontId="10" fillId="0" borderId="0" xfId="51" applyFont="1" applyFill="1">
      <alignment vertical="top"/>
    </xf>
    <xf numFmtId="180" fontId="0" fillId="0" borderId="0" xfId="53" applyNumberFormat="1" applyFont="1" applyFill="1">
      <alignment vertical="top"/>
    </xf>
    <xf numFmtId="176" fontId="34" fillId="0" borderId="0" xfId="2" applyFont="1" applyFill="1">
      <alignment vertical="top"/>
    </xf>
    <xf numFmtId="178" fontId="34" fillId="0" borderId="0" xfId="4" applyNumberFormat="1" applyFont="1" applyFill="1" applyBorder="1">
      <alignment vertical="top"/>
    </xf>
    <xf numFmtId="174" fontId="3" fillId="0" borderId="0" xfId="4" applyNumberFormat="1" applyFont="1" applyFill="1" applyBorder="1">
      <alignment vertical="top"/>
    </xf>
    <xf numFmtId="175" fontId="0" fillId="0" borderId="0" xfId="51" applyFont="1" applyFill="1">
      <alignment vertical="top"/>
    </xf>
    <xf numFmtId="167" fontId="44" fillId="47" borderId="0" xfId="0" applyFont="1" applyFill="1" applyBorder="1">
      <alignment vertical="top"/>
    </xf>
    <xf numFmtId="169" fontId="0" fillId="0" borderId="0" xfId="5" applyFont="1" applyFill="1" applyBorder="1">
      <alignment vertical="top"/>
    </xf>
    <xf numFmtId="168" fontId="0" fillId="0" borderId="0" xfId="4" applyFont="1" applyFill="1" applyBorder="1">
      <alignment vertical="top"/>
    </xf>
    <xf numFmtId="167" fontId="34" fillId="0" borderId="27" xfId="0" applyFont="1" applyBorder="1">
      <alignment vertical="top"/>
    </xf>
    <xf numFmtId="178" fontId="34" fillId="0" borderId="27" xfId="0" applyNumberFormat="1" applyFont="1" applyBorder="1">
      <alignment vertical="top"/>
    </xf>
    <xf numFmtId="178" fontId="34" fillId="0" borderId="27" xfId="4" applyNumberFormat="1" applyFont="1" applyBorder="1">
      <alignment vertical="top"/>
    </xf>
    <xf numFmtId="167" fontId="34" fillId="0" borderId="27" xfId="0" applyFont="1" applyFill="1" applyBorder="1">
      <alignment vertical="top"/>
    </xf>
    <xf numFmtId="170" fontId="34" fillId="0" borderId="27" xfId="53" applyFont="1" applyBorder="1">
      <alignment vertical="top"/>
    </xf>
    <xf numFmtId="180" fontId="34" fillId="0" borderId="27" xfId="53" applyNumberFormat="1" applyFont="1" applyBorder="1">
      <alignment vertical="top"/>
    </xf>
    <xf numFmtId="180" fontId="34" fillId="0" borderId="27" xfId="53" applyNumberFormat="1" applyFont="1" applyFill="1" applyBorder="1">
      <alignment vertical="top"/>
    </xf>
    <xf numFmtId="167" fontId="3" fillId="0" borderId="27" xfId="0" applyFont="1" applyFill="1" applyBorder="1">
      <alignment vertical="top"/>
    </xf>
    <xf numFmtId="178" fontId="3" fillId="0" borderId="0" xfId="4" applyNumberFormat="1" applyFont="1" applyBorder="1">
      <alignment vertical="top"/>
    </xf>
    <xf numFmtId="178" fontId="34" fillId="0" borderId="27" xfId="4" applyNumberFormat="1" applyFont="1" applyFill="1" applyBorder="1">
      <alignment vertical="top"/>
    </xf>
    <xf numFmtId="170" fontId="34" fillId="0" borderId="0" xfId="53" applyFont="1" applyBorder="1">
      <alignment vertical="top"/>
    </xf>
    <xf numFmtId="180" fontId="34" fillId="0" borderId="0" xfId="53" applyNumberFormat="1" applyFont="1" applyBorder="1">
      <alignment vertical="top"/>
    </xf>
    <xf numFmtId="178" fontId="10" fillId="0" borderId="0" xfId="4" applyNumberFormat="1" applyFont="1" applyFill="1">
      <alignment vertical="top"/>
    </xf>
    <xf numFmtId="170" fontId="30" fillId="0" borderId="0" xfId="4" applyNumberFormat="1" applyFont="1" applyFill="1">
      <alignment vertical="top"/>
    </xf>
    <xf numFmtId="178" fontId="30" fillId="0" borderId="0" xfId="4" applyNumberFormat="1" applyFont="1">
      <alignment vertical="top"/>
    </xf>
    <xf numFmtId="170" fontId="30" fillId="0" borderId="0" xfId="53" applyFont="1" applyFill="1">
      <alignment vertical="top"/>
    </xf>
    <xf numFmtId="180" fontId="30" fillId="0" borderId="0" xfId="53" applyNumberFormat="1" applyFont="1" applyFill="1">
      <alignment vertical="top"/>
    </xf>
    <xf numFmtId="178" fontId="3" fillId="0" borderId="0" xfId="4" applyNumberFormat="1" applyFont="1" applyFill="1" applyBorder="1">
      <alignment vertical="top"/>
    </xf>
    <xf numFmtId="167" fontId="5" fillId="0" borderId="19" xfId="0" applyFont="1" applyFill="1" applyBorder="1">
      <alignment vertical="top"/>
    </xf>
    <xf numFmtId="167" fontId="3" fillId="0" borderId="19" xfId="0" applyFont="1" applyFill="1" applyBorder="1">
      <alignment vertical="top"/>
    </xf>
    <xf numFmtId="169" fontId="3" fillId="0" borderId="0" xfId="5" applyFont="1" applyBorder="1">
      <alignment vertical="top"/>
    </xf>
    <xf numFmtId="178" fontId="3" fillId="48" borderId="0" xfId="4" applyNumberFormat="1" applyFont="1" applyFill="1" applyBorder="1">
      <alignment vertical="top"/>
    </xf>
    <xf numFmtId="167" fontId="0" fillId="48" borderId="0" xfId="0" applyFill="1">
      <alignment vertical="top"/>
    </xf>
    <xf numFmtId="167" fontId="6" fillId="48" borderId="0" xfId="55" applyFont="1" applyFill="1">
      <alignment vertical="top"/>
    </xf>
    <xf numFmtId="167" fontId="3" fillId="48" borderId="0" xfId="55" applyFont="1" applyFill="1">
      <alignment vertical="top"/>
    </xf>
    <xf numFmtId="168" fontId="0" fillId="48" borderId="0" xfId="4" applyFont="1" applyFill="1">
      <alignment vertical="top"/>
    </xf>
    <xf numFmtId="169" fontId="0" fillId="48" borderId="0" xfId="5" applyFont="1" applyFill="1">
      <alignment vertical="top"/>
    </xf>
    <xf numFmtId="167" fontId="5" fillId="49" borderId="0" xfId="55" applyFont="1" applyFill="1">
      <alignment vertical="top"/>
    </xf>
    <xf numFmtId="167" fontId="6" fillId="49" borderId="0" xfId="55" applyFont="1" applyFill="1">
      <alignment vertical="top"/>
    </xf>
    <xf numFmtId="167" fontId="3" fillId="49" borderId="0" xfId="55" applyFont="1" applyFill="1" applyAlignment="1">
      <alignment horizontal="right" vertical="top"/>
    </xf>
    <xf numFmtId="167" fontId="3" fillId="49" borderId="0" xfId="55" applyFont="1" applyFill="1">
      <alignment vertical="top"/>
    </xf>
    <xf numFmtId="167" fontId="10" fillId="44" borderId="0" xfId="0" applyFont="1" applyFill="1" applyAlignment="1">
      <alignment horizontal="right" vertical="top"/>
    </xf>
    <xf numFmtId="167" fontId="35" fillId="50" borderId="0" xfId="0" applyFont="1" applyFill="1" applyBorder="1">
      <alignment vertical="top"/>
    </xf>
    <xf numFmtId="167" fontId="36" fillId="50" borderId="0" xfId="0" applyFont="1" applyFill="1" applyBorder="1">
      <alignment vertical="top"/>
    </xf>
    <xf numFmtId="167" fontId="34" fillId="50" borderId="0" xfId="0" applyFont="1" applyFill="1" applyBorder="1" applyAlignment="1">
      <alignment horizontal="right" vertical="top"/>
    </xf>
    <xf numFmtId="167" fontId="34" fillId="50" borderId="0" xfId="0" applyFont="1" applyFill="1" applyBorder="1">
      <alignment vertical="top"/>
    </xf>
    <xf numFmtId="178" fontId="34" fillId="50" borderId="0" xfId="4" applyNumberFormat="1" applyFont="1" applyFill="1" applyBorder="1">
      <alignment vertical="top"/>
    </xf>
    <xf numFmtId="179" fontId="3" fillId="0" borderId="0" xfId="51" applyNumberFormat="1" applyFont="1" applyFill="1" applyBorder="1">
      <alignment vertical="top"/>
    </xf>
    <xf numFmtId="167" fontId="5" fillId="50" borderId="0" xfId="0" applyFont="1" applyFill="1">
      <alignment vertical="top"/>
    </xf>
    <xf numFmtId="167" fontId="6" fillId="50" borderId="0" xfId="0" applyFont="1" applyFill="1">
      <alignment vertical="top"/>
    </xf>
    <xf numFmtId="167" fontId="3" fillId="50" borderId="0" xfId="0" applyFont="1" applyFill="1" applyAlignment="1">
      <alignment horizontal="right" vertical="top"/>
    </xf>
    <xf numFmtId="167" fontId="3" fillId="50" borderId="0" xfId="0" applyFont="1" applyFill="1" applyBorder="1">
      <alignment vertical="top"/>
    </xf>
    <xf numFmtId="178" fontId="3" fillId="50" borderId="0" xfId="0" applyNumberFormat="1" applyFont="1" applyFill="1" applyBorder="1">
      <alignment vertical="top"/>
    </xf>
    <xf numFmtId="179" fontId="3" fillId="50" borderId="0" xfId="51" applyNumberFormat="1" applyFont="1" applyFill="1" applyBorder="1">
      <alignment vertical="top"/>
    </xf>
    <xf numFmtId="167" fontId="0" fillId="50" borderId="0" xfId="0" applyFill="1">
      <alignment vertical="top"/>
    </xf>
    <xf numFmtId="180" fontId="34" fillId="0" borderId="0" xfId="53" applyNumberFormat="1" applyFont="1" applyFill="1" applyBorder="1">
      <alignment vertical="top"/>
    </xf>
    <xf numFmtId="178" fontId="3" fillId="50" borderId="0" xfId="4" applyNumberFormat="1" applyFont="1" applyFill="1" applyBorder="1">
      <alignment vertical="top"/>
    </xf>
    <xf numFmtId="167" fontId="5" fillId="41" borderId="0" xfId="0" applyFont="1" applyFill="1">
      <alignment vertical="top"/>
    </xf>
    <xf numFmtId="167" fontId="6" fillId="41" borderId="0" xfId="0" applyFont="1" applyFill="1">
      <alignment vertical="top"/>
    </xf>
    <xf numFmtId="167" fontId="3" fillId="41" borderId="0" xfId="0" applyFont="1" applyFill="1">
      <alignment vertical="top"/>
    </xf>
    <xf numFmtId="167" fontId="35" fillId="41" borderId="0" xfId="0" applyFont="1" applyFill="1" applyBorder="1">
      <alignment vertical="top"/>
    </xf>
    <xf numFmtId="167" fontId="36" fillId="41" borderId="0" xfId="0" applyFont="1" applyFill="1" applyBorder="1">
      <alignment vertical="top"/>
    </xf>
    <xf numFmtId="167" fontId="34" fillId="41" borderId="0" xfId="0" applyFont="1" applyFill="1" applyBorder="1" applyAlignment="1">
      <alignment horizontal="right" vertical="top"/>
    </xf>
    <xf numFmtId="167" fontId="34" fillId="41" borderId="0" xfId="0" applyFont="1" applyFill="1" applyBorder="1">
      <alignment vertical="top"/>
    </xf>
    <xf numFmtId="178" fontId="3" fillId="41" borderId="27" xfId="0" applyNumberFormat="1" applyFont="1" applyFill="1" applyBorder="1">
      <alignment vertical="top"/>
    </xf>
    <xf numFmtId="167" fontId="47" fillId="0" borderId="0" xfId="0" applyFont="1" applyFill="1">
      <alignment vertical="top"/>
    </xf>
    <xf numFmtId="167" fontId="48" fillId="0" borderId="0" xfId="0" applyFont="1" applyFill="1">
      <alignment vertical="top"/>
    </xf>
    <xf numFmtId="167" fontId="10" fillId="0" borderId="0" xfId="0" applyFont="1" applyFill="1" applyAlignment="1">
      <alignment horizontal="right" vertical="top"/>
    </xf>
    <xf numFmtId="167" fontId="10" fillId="0" borderId="0" xfId="0" applyFont="1" applyFill="1" applyBorder="1">
      <alignment vertical="top"/>
    </xf>
    <xf numFmtId="167" fontId="50" fillId="0" borderId="0" xfId="0" applyFont="1" applyFill="1">
      <alignment vertical="top"/>
    </xf>
    <xf numFmtId="178" fontId="34" fillId="0" borderId="0" xfId="0" applyNumberFormat="1" applyFont="1" applyFill="1" applyBorder="1">
      <alignment vertical="top"/>
    </xf>
    <xf numFmtId="167" fontId="40" fillId="0" borderId="0" xfId="0" applyFont="1" applyFill="1">
      <alignment vertical="top"/>
    </xf>
    <xf numFmtId="167" fontId="34" fillId="0" borderId="0" xfId="0" applyFont="1" applyFill="1" applyBorder="1" applyAlignment="1">
      <alignment horizontal="right" vertical="top"/>
    </xf>
    <xf numFmtId="170" fontId="35" fillId="0" borderId="0" xfId="53" applyFont="1" applyFill="1">
      <alignment vertical="top"/>
    </xf>
    <xf numFmtId="170" fontId="34" fillId="0" borderId="0" xfId="53" applyFont="1" applyFill="1" applyAlignment="1">
      <alignment horizontal="right" vertical="top"/>
    </xf>
    <xf numFmtId="178" fontId="34" fillId="0" borderId="27" xfId="0" applyNumberFormat="1" applyFont="1" applyFill="1" applyBorder="1">
      <alignment vertical="top"/>
    </xf>
    <xf numFmtId="180" fontId="0" fillId="0" borderId="0" xfId="53" applyNumberFormat="1" applyFont="1" applyFill="1" applyBorder="1">
      <alignment vertical="top"/>
    </xf>
    <xf numFmtId="173" fontId="10" fillId="0" borderId="0" xfId="0" applyNumberFormat="1" applyFont="1" applyFill="1">
      <alignment vertical="top"/>
    </xf>
    <xf numFmtId="175" fontId="5" fillId="0" borderId="0" xfId="51" applyFont="1" applyFill="1">
      <alignment vertical="top"/>
    </xf>
    <xf numFmtId="175" fontId="6" fillId="0" borderId="0" xfId="51" applyFont="1" applyFill="1">
      <alignment vertical="top"/>
    </xf>
    <xf numFmtId="175" fontId="3" fillId="0" borderId="0" xfId="51" applyFont="1" applyFill="1">
      <alignment vertical="top"/>
    </xf>
    <xf numFmtId="178" fontId="3" fillId="0" borderId="27" xfId="0" applyNumberFormat="1" applyFont="1" applyFill="1" applyBorder="1">
      <alignment vertical="top"/>
    </xf>
    <xf numFmtId="179" fontId="3" fillId="0" borderId="27" xfId="51" applyNumberFormat="1" applyFont="1" applyFill="1" applyBorder="1">
      <alignment vertical="top"/>
    </xf>
    <xf numFmtId="169" fontId="10" fillId="0" borderId="0" xfId="5" applyFont="1" applyFill="1" applyBorder="1">
      <alignment vertical="top"/>
    </xf>
    <xf numFmtId="169" fontId="34" fillId="0" borderId="0" xfId="5" applyFont="1" applyFill="1" applyBorder="1">
      <alignment vertical="top"/>
    </xf>
    <xf numFmtId="167" fontId="49" fillId="0" borderId="0" xfId="0" applyFont="1" applyFill="1">
      <alignment vertical="top"/>
    </xf>
    <xf numFmtId="167" fontId="10" fillId="0" borderId="0" xfId="4" applyNumberFormat="1" applyFont="1" applyFill="1">
      <alignment vertical="top"/>
    </xf>
    <xf numFmtId="167" fontId="3" fillId="0" borderId="0" xfId="0" applyFont="1" applyFill="1" applyBorder="1" applyAlignment="1">
      <alignment horizontal="right" vertical="top"/>
    </xf>
    <xf numFmtId="178" fontId="3" fillId="41" borderId="0" xfId="4" applyNumberFormat="1" applyFont="1" applyFill="1" applyBorder="1">
      <alignment vertical="top"/>
    </xf>
    <xf numFmtId="167" fontId="30" fillId="0" borderId="0" xfId="0" applyFont="1" applyFill="1" applyBorder="1">
      <alignment vertical="top"/>
    </xf>
    <xf numFmtId="180" fontId="3" fillId="0" borderId="0" xfId="0" applyNumberFormat="1" applyFont="1" applyFill="1">
      <alignment vertical="top"/>
    </xf>
    <xf numFmtId="167" fontId="31" fillId="0" borderId="0" xfId="0" applyFont="1" applyFill="1">
      <alignment vertical="top"/>
    </xf>
    <xf numFmtId="167" fontId="32" fillId="0" borderId="0" xfId="0" applyFont="1" applyFill="1">
      <alignment vertical="top"/>
    </xf>
    <xf numFmtId="167" fontId="30" fillId="0" borderId="0" xfId="0" applyFont="1" applyFill="1" applyAlignment="1">
      <alignment horizontal="right" vertical="top"/>
    </xf>
    <xf numFmtId="178" fontId="30" fillId="0" borderId="27" xfId="0" applyNumberFormat="1" applyFont="1" applyFill="1" applyBorder="1">
      <alignment vertical="top"/>
    </xf>
    <xf numFmtId="167" fontId="51" fillId="0" borderId="0" xfId="0" applyFont="1" applyFill="1">
      <alignment vertical="top"/>
    </xf>
    <xf numFmtId="168" fontId="35" fillId="50" borderId="0" xfId="4" applyFont="1" applyFill="1">
      <alignment vertical="top"/>
    </xf>
    <xf numFmtId="168" fontId="36" fillId="50" borderId="0" xfId="4" applyFont="1" applyFill="1">
      <alignment vertical="top"/>
    </xf>
    <xf numFmtId="168" fontId="34" fillId="50" borderId="0" xfId="4" applyFont="1" applyFill="1">
      <alignment vertical="top"/>
    </xf>
    <xf numFmtId="174" fontId="35" fillId="0" borderId="0" xfId="4" applyNumberFormat="1" applyFont="1" applyFill="1">
      <alignment vertical="top"/>
    </xf>
    <xf numFmtId="174" fontId="36" fillId="0" borderId="0" xfId="4" applyNumberFormat="1" applyFont="1" applyFill="1">
      <alignment vertical="top"/>
    </xf>
    <xf numFmtId="167" fontId="34" fillId="0" borderId="0" xfId="4" applyNumberFormat="1" applyFont="1" applyFill="1" applyBorder="1">
      <alignment vertical="top"/>
    </xf>
    <xf numFmtId="178" fontId="3" fillId="0" borderId="0" xfId="0" applyNumberFormat="1" applyFont="1" applyFill="1" applyBorder="1" applyAlignment="1">
      <alignment horizontal="right" vertical="top"/>
    </xf>
    <xf numFmtId="178" fontId="0" fillId="0" borderId="0" xfId="0" applyNumberFormat="1" applyFill="1" applyBorder="1">
      <alignment vertical="top"/>
    </xf>
    <xf numFmtId="176" fontId="3" fillId="42" borderId="0" xfId="2" applyFont="1" applyFill="1" applyBorder="1">
      <alignment vertical="top"/>
    </xf>
    <xf numFmtId="172" fontId="3" fillId="42" borderId="0" xfId="0" applyNumberFormat="1" applyFont="1" applyFill="1" applyBorder="1">
      <alignment vertical="top"/>
    </xf>
    <xf numFmtId="167" fontId="3" fillId="42" borderId="0" xfId="0" applyFont="1" applyFill="1" applyBorder="1">
      <alignment vertical="top"/>
    </xf>
    <xf numFmtId="171" fontId="3" fillId="41" borderId="28" xfId="0" applyNumberFormat="1" applyFont="1" applyFill="1" applyBorder="1">
      <alignment vertical="top"/>
    </xf>
    <xf numFmtId="14" fontId="3" fillId="42" borderId="0" xfId="0" applyNumberFormat="1" applyFont="1" applyFill="1" applyBorder="1">
      <alignment vertical="top"/>
    </xf>
    <xf numFmtId="9" fontId="3" fillId="42" borderId="0" xfId="0" applyNumberFormat="1" applyFont="1" applyFill="1" applyBorder="1" applyAlignment="1" applyProtection="1">
      <alignment vertical="center"/>
      <protection locked="0"/>
    </xf>
    <xf numFmtId="0" fontId="3" fillId="42" borderId="0" xfId="0" applyNumberFormat="1" applyFont="1" applyFill="1" applyBorder="1" applyAlignment="1" applyProtection="1">
      <alignment vertical="center"/>
      <protection locked="0"/>
    </xf>
    <xf numFmtId="1" fontId="3" fillId="0" borderId="0" xfId="5" applyNumberFormat="1" applyFont="1" applyFill="1" applyBorder="1" applyAlignment="1" applyProtection="1">
      <alignment vertical="center"/>
    </xf>
    <xf numFmtId="0" fontId="3" fillId="42" borderId="0" xfId="0" applyNumberFormat="1" applyFont="1" applyFill="1" applyBorder="1" applyAlignment="1" applyProtection="1">
      <alignment horizontal="center" vertical="center"/>
      <protection locked="0"/>
    </xf>
    <xf numFmtId="169" fontId="3" fillId="42" borderId="0" xfId="5" applyFont="1" applyFill="1" applyBorder="1">
      <alignment vertical="top"/>
    </xf>
    <xf numFmtId="169" fontId="3" fillId="0" borderId="0" xfId="0" applyNumberFormat="1" applyFont="1" applyFill="1" applyBorder="1">
      <alignment vertical="top"/>
    </xf>
    <xf numFmtId="169" fontId="3" fillId="0" borderId="0" xfId="4" applyNumberFormat="1" applyFont="1" applyFill="1" applyBorder="1">
      <alignment vertical="top"/>
    </xf>
    <xf numFmtId="178" fontId="3" fillId="0" borderId="0" xfId="53" applyNumberFormat="1" applyFont="1">
      <alignment vertical="top"/>
    </xf>
    <xf numFmtId="180" fontId="3" fillId="0" borderId="0" xfId="5" applyNumberFormat="1" applyFont="1">
      <alignment vertical="top"/>
    </xf>
    <xf numFmtId="178" fontId="3" fillId="0" borderId="0" xfId="5" applyNumberFormat="1" applyFont="1">
      <alignment vertical="top"/>
    </xf>
    <xf numFmtId="178" fontId="3" fillId="0" borderId="0" xfId="53" applyNumberFormat="1" applyFont="1" applyFill="1">
      <alignment vertical="top"/>
    </xf>
    <xf numFmtId="167" fontId="10" fillId="0" borderId="0" xfId="4" applyNumberFormat="1" applyFont="1" applyBorder="1">
      <alignment vertical="top"/>
    </xf>
    <xf numFmtId="178" fontId="3" fillId="0" borderId="0" xfId="0" applyNumberFormat="1" applyFont="1" applyAlignment="1">
      <alignment horizontal="right"/>
    </xf>
    <xf numFmtId="178" fontId="10" fillId="0" borderId="0" xfId="5" applyNumberFormat="1" applyFont="1" applyFill="1">
      <alignment vertical="top"/>
    </xf>
    <xf numFmtId="176" fontId="10" fillId="0" borderId="0" xfId="5" applyNumberFormat="1" applyFont="1" applyFill="1">
      <alignment vertical="top"/>
    </xf>
    <xf numFmtId="181" fontId="10" fillId="0" borderId="0" xfId="0" applyNumberFormat="1" applyFont="1" applyFill="1">
      <alignment vertical="top"/>
    </xf>
    <xf numFmtId="181" fontId="10" fillId="0" borderId="0" xfId="5" applyNumberFormat="1" applyFont="1" applyFill="1">
      <alignment vertical="top"/>
    </xf>
    <xf numFmtId="167" fontId="34" fillId="0" borderId="0" xfId="68" applyFont="1" applyFill="1">
      <alignment vertical="top"/>
    </xf>
    <xf numFmtId="169" fontId="34" fillId="42" borderId="0" xfId="5" applyFont="1" applyFill="1" applyBorder="1">
      <alignment vertical="top"/>
    </xf>
    <xf numFmtId="178" fontId="34" fillId="42" borderId="0" xfId="0" applyNumberFormat="1" applyFont="1" applyFill="1" applyBorder="1">
      <alignment vertical="top"/>
    </xf>
    <xf numFmtId="178" fontId="34" fillId="0" borderId="0" xfId="0" applyNumberFormat="1" applyFont="1" applyBorder="1">
      <alignment vertical="top"/>
    </xf>
    <xf numFmtId="182" fontId="34" fillId="0" borderId="0" xfId="5" applyNumberFormat="1" applyFont="1" applyBorder="1">
      <alignment vertical="top"/>
    </xf>
    <xf numFmtId="182" fontId="34" fillId="42" borderId="0" xfId="5" applyNumberFormat="1" applyFont="1" applyFill="1" applyBorder="1">
      <alignment vertical="top"/>
    </xf>
    <xf numFmtId="182" fontId="34" fillId="0" borderId="0" xfId="5" applyNumberFormat="1" applyFont="1" applyFill="1" applyBorder="1">
      <alignment vertical="top"/>
    </xf>
    <xf numFmtId="167" fontId="34" fillId="44" borderId="0" xfId="0" applyFont="1" applyFill="1" applyBorder="1" applyAlignment="1">
      <alignment horizontal="right" vertical="top"/>
    </xf>
    <xf numFmtId="167" fontId="35" fillId="39" borderId="0" xfId="0" applyFont="1" applyFill="1" applyBorder="1">
      <alignment vertical="top"/>
    </xf>
    <xf numFmtId="176" fontId="34" fillId="0" borderId="0" xfId="2" applyFont="1" applyBorder="1" applyAlignment="1">
      <alignment horizontal="left" vertical="top"/>
    </xf>
    <xf numFmtId="170" fontId="34" fillId="0" borderId="0" xfId="0" applyNumberFormat="1" applyFont="1" applyBorder="1">
      <alignment vertical="top"/>
    </xf>
    <xf numFmtId="170" fontId="34" fillId="0" borderId="0" xfId="0" applyNumberFormat="1" applyFont="1" applyFill="1" applyBorder="1">
      <alignment vertical="top"/>
    </xf>
    <xf numFmtId="170" fontId="34" fillId="0" borderId="0" xfId="0" applyNumberFormat="1" applyFont="1" applyFill="1" applyBorder="1" applyAlignment="1">
      <alignment horizontal="right"/>
    </xf>
    <xf numFmtId="176" fontId="34" fillId="0" borderId="0" xfId="2" applyFont="1" applyAlignment="1">
      <alignment horizontal="left" vertical="top"/>
    </xf>
    <xf numFmtId="167" fontId="35" fillId="41" borderId="0" xfId="0" applyFont="1" applyFill="1" applyAlignment="1">
      <alignment vertical="top" wrapText="1"/>
    </xf>
    <xf numFmtId="167" fontId="35" fillId="41" borderId="0" xfId="0" applyFont="1" applyFill="1">
      <alignment vertical="top"/>
    </xf>
    <xf numFmtId="171" fontId="3" fillId="42" borderId="0" xfId="4" applyNumberFormat="1" applyFont="1" applyFill="1" applyBorder="1">
      <alignment vertical="top"/>
    </xf>
    <xf numFmtId="171" fontId="3" fillId="0" borderId="0" xfId="4" applyNumberFormat="1" applyFont="1">
      <alignment vertical="top"/>
    </xf>
    <xf numFmtId="171" fontId="3" fillId="0" borderId="0" xfId="4" applyNumberFormat="1" applyFont="1" applyFill="1">
      <alignment vertical="top"/>
    </xf>
    <xf numFmtId="171" fontId="3" fillId="0" borderId="0" xfId="4" applyNumberFormat="1" applyFont="1" applyFill="1" applyBorder="1">
      <alignment vertical="top"/>
    </xf>
    <xf numFmtId="171" fontId="3" fillId="0" borderId="0" xfId="4" applyNumberFormat="1" applyFont="1" applyBorder="1">
      <alignment vertical="top"/>
    </xf>
    <xf numFmtId="0" fontId="44" fillId="47" borderId="32" xfId="72" applyFont="1" applyFill="1" applyBorder="1" applyAlignment="1">
      <alignment vertical="top"/>
    </xf>
    <xf numFmtId="0" fontId="57" fillId="47" borderId="32" xfId="72" applyFont="1" applyFill="1" applyBorder="1" applyAlignment="1">
      <alignment vertical="top"/>
    </xf>
    <xf numFmtId="0" fontId="1" fillId="0" borderId="32" xfId="72" applyBorder="1"/>
    <xf numFmtId="0" fontId="57" fillId="47" borderId="0" xfId="72" applyFont="1" applyFill="1" applyAlignment="1">
      <alignment vertical="top"/>
    </xf>
    <xf numFmtId="0" fontId="1" fillId="0" borderId="0" xfId="72"/>
    <xf numFmtId="0" fontId="45" fillId="47" borderId="0" xfId="72" applyFont="1" applyFill="1" applyAlignment="1">
      <alignment vertical="top"/>
    </xf>
    <xf numFmtId="184" fontId="45" fillId="47" borderId="0" xfId="72" applyNumberFormat="1" applyFont="1" applyFill="1" applyAlignment="1">
      <alignment horizontal="left" vertical="top"/>
    </xf>
    <xf numFmtId="0" fontId="43" fillId="0" borderId="0" xfId="72" applyFont="1"/>
    <xf numFmtId="167" fontId="46" fillId="0" borderId="0" xfId="65" applyNumberFormat="1" applyFill="1" applyProtection="1">
      <alignment vertical="top"/>
    </xf>
    <xf numFmtId="0" fontId="58" fillId="0" borderId="0" xfId="72" applyFont="1" applyAlignment="1">
      <alignment vertical="top"/>
    </xf>
    <xf numFmtId="0" fontId="3" fillId="52" borderId="33" xfId="72" applyFont="1" applyFill="1" applyBorder="1" applyAlignment="1">
      <alignment horizontal="center" vertical="center"/>
    </xf>
    <xf numFmtId="0" fontId="3" fillId="52" borderId="34" xfId="72" applyFont="1" applyFill="1" applyBorder="1" applyAlignment="1">
      <alignment horizontal="center" vertical="center"/>
    </xf>
    <xf numFmtId="0" fontId="3" fillId="52" borderId="35" xfId="72" applyFont="1" applyFill="1" applyBorder="1" applyAlignment="1">
      <alignment horizontal="center" vertical="center"/>
    </xf>
    <xf numFmtId="0" fontId="3" fillId="52" borderId="34" xfId="72" applyFont="1" applyFill="1" applyBorder="1" applyAlignment="1">
      <alignment horizontal="center" vertical="center" wrapText="1"/>
    </xf>
    <xf numFmtId="0" fontId="34" fillId="41" borderId="35" xfId="72" applyFont="1" applyFill="1" applyBorder="1" applyAlignment="1">
      <alignment vertical="top" wrapText="1"/>
    </xf>
    <xf numFmtId="0" fontId="3" fillId="41" borderId="34" xfId="72" applyFont="1" applyFill="1" applyBorder="1" applyAlignment="1">
      <alignment vertical="top" wrapText="1"/>
    </xf>
    <xf numFmtId="0" fontId="34" fillId="0" borderId="0" xfId="72" applyFont="1" applyAlignment="1">
      <alignment vertical="top"/>
    </xf>
    <xf numFmtId="0" fontId="59" fillId="0" borderId="0" xfId="72" applyFont="1" applyAlignment="1">
      <alignment vertical="top"/>
    </xf>
    <xf numFmtId="167" fontId="3" fillId="53" borderId="0" xfId="74" applyFont="1" applyFill="1">
      <alignment vertical="top"/>
    </xf>
    <xf numFmtId="167" fontId="3" fillId="53" borderId="0" xfId="72" applyNumberFormat="1" applyFont="1" applyFill="1" applyAlignment="1">
      <alignment horizontal="right" vertical="top"/>
    </xf>
    <xf numFmtId="167" fontId="10" fillId="0" borderId="0" xfId="72" applyNumberFormat="1" applyFont="1"/>
    <xf numFmtId="167" fontId="33" fillId="49" borderId="0" xfId="74" applyFont="1" applyFill="1">
      <alignment vertical="top"/>
    </xf>
    <xf numFmtId="0" fontId="1" fillId="49" borderId="0" xfId="72" applyFill="1"/>
    <xf numFmtId="0" fontId="3" fillId="49" borderId="0" xfId="72" applyFont="1" applyFill="1" applyAlignment="1">
      <alignment vertical="top"/>
    </xf>
    <xf numFmtId="0" fontId="34" fillId="41" borderId="36" xfId="72" applyFont="1" applyFill="1" applyBorder="1" applyAlignment="1">
      <alignment vertical="top" wrapText="1"/>
    </xf>
    <xf numFmtId="0" fontId="34" fillId="41" borderId="37" xfId="72" applyFont="1" applyFill="1" applyBorder="1" applyAlignment="1">
      <alignment vertical="top" wrapText="1"/>
    </xf>
    <xf numFmtId="167" fontId="60" fillId="54" borderId="0" xfId="75" applyFont="1" applyFill="1">
      <alignment vertical="top"/>
    </xf>
    <xf numFmtId="0" fontId="3" fillId="0" borderId="0" xfId="76" applyProtection="1">
      <protection locked="0"/>
    </xf>
    <xf numFmtId="0" fontId="5" fillId="0" borderId="0" xfId="76" applyFont="1" applyAlignment="1" applyProtection="1">
      <alignment horizontal="center" vertical="top"/>
      <protection locked="0"/>
    </xf>
    <xf numFmtId="0" fontId="5" fillId="0" borderId="0" xfId="76" applyFont="1" applyAlignment="1" applyProtection="1">
      <alignment vertical="top" wrapText="1"/>
      <protection locked="0"/>
    </xf>
    <xf numFmtId="0" fontId="3" fillId="41" borderId="0" xfId="72" applyFont="1" applyFill="1" applyAlignment="1">
      <alignment vertical="top"/>
    </xf>
    <xf numFmtId="0" fontId="3" fillId="0" borderId="0" xfId="72" applyFont="1" applyAlignment="1">
      <alignment vertical="top"/>
    </xf>
    <xf numFmtId="0" fontId="3" fillId="0" borderId="0" xfId="72" applyFont="1" applyAlignment="1">
      <alignment horizontal="right" vertical="top"/>
    </xf>
    <xf numFmtId="170" fontId="63" fillId="0" borderId="0" xfId="74" applyNumberFormat="1" applyFont="1" applyFill="1">
      <alignment vertical="top"/>
    </xf>
    <xf numFmtId="170" fontId="3" fillId="0" borderId="0" xfId="74" applyNumberFormat="1" applyFont="1" applyFill="1">
      <alignment vertical="top"/>
    </xf>
    <xf numFmtId="185" fontId="3" fillId="0" borderId="0" xfId="79" applyFont="1" applyFill="1" applyAlignment="1">
      <alignment vertical="top"/>
    </xf>
    <xf numFmtId="170" fontId="3" fillId="0" borderId="0" xfId="74" applyNumberFormat="1" applyFont="1" applyFill="1" applyBorder="1" applyAlignment="1">
      <alignment horizontal="left" vertical="top"/>
    </xf>
    <xf numFmtId="170" fontId="3" fillId="0" borderId="0" xfId="74" applyNumberFormat="1" applyFont="1" applyFill="1" applyBorder="1">
      <alignment vertical="top"/>
    </xf>
    <xf numFmtId="167" fontId="0" fillId="0" borderId="0" xfId="0" applyAlignment="1"/>
    <xf numFmtId="168" fontId="3" fillId="49" borderId="0" xfId="4" applyFont="1" applyFill="1">
      <alignment vertical="top"/>
    </xf>
    <xf numFmtId="167" fontId="5" fillId="0" borderId="0" xfId="74" applyFont="1">
      <alignment vertical="top"/>
    </xf>
    <xf numFmtId="167" fontId="6" fillId="0" borderId="0" xfId="74" applyFont="1" applyFill="1">
      <alignment vertical="top"/>
    </xf>
    <xf numFmtId="167" fontId="3" fillId="0" borderId="0" xfId="74" applyFont="1" applyAlignment="1">
      <alignment horizontal="right" vertical="top"/>
    </xf>
    <xf numFmtId="185" fontId="3" fillId="0" borderId="0" xfId="79" applyFont="1" applyAlignment="1">
      <alignment vertical="top"/>
    </xf>
    <xf numFmtId="168" fontId="3" fillId="49" borderId="0" xfId="4" applyFont="1" applyFill="1" applyBorder="1" applyAlignment="1">
      <alignment horizontal="right" vertical="top"/>
    </xf>
    <xf numFmtId="167" fontId="3" fillId="0" borderId="0" xfId="74" applyFont="1">
      <alignment vertical="top"/>
    </xf>
    <xf numFmtId="0" fontId="3" fillId="46" borderId="35" xfId="72" applyFont="1" applyFill="1" applyBorder="1" applyAlignment="1">
      <alignment vertical="top" wrapText="1"/>
    </xf>
    <xf numFmtId="0" fontId="10" fillId="46" borderId="35" xfId="72" applyFont="1" applyFill="1" applyBorder="1" applyAlignment="1">
      <alignment vertical="top" wrapText="1"/>
    </xf>
    <xf numFmtId="0" fontId="5" fillId="39" borderId="0" xfId="72" applyFont="1" applyFill="1" applyAlignment="1">
      <alignment vertical="top"/>
    </xf>
    <xf numFmtId="0" fontId="3" fillId="39" borderId="0" xfId="72" applyFont="1" applyFill="1" applyAlignment="1">
      <alignment vertical="top"/>
    </xf>
    <xf numFmtId="0" fontId="5" fillId="39" borderId="0" xfId="72" applyFont="1" applyFill="1" applyAlignment="1">
      <alignment horizontal="left" vertical="top"/>
    </xf>
    <xf numFmtId="0" fontId="5" fillId="0" borderId="0" xfId="72" applyFont="1" applyAlignment="1">
      <alignment vertical="top"/>
    </xf>
    <xf numFmtId="0" fontId="6" fillId="0" borderId="0" xfId="72" applyFont="1" applyAlignment="1">
      <alignment vertical="top"/>
    </xf>
    <xf numFmtId="0" fontId="3" fillId="42" borderId="0" xfId="72" applyFont="1" applyFill="1" applyAlignment="1">
      <alignment horizontal="left" vertical="top"/>
    </xf>
    <xf numFmtId="0" fontId="3" fillId="0" borderId="0" xfId="72" applyFont="1" applyAlignment="1">
      <alignment horizontal="left" vertical="top"/>
    </xf>
    <xf numFmtId="0" fontId="3" fillId="41" borderId="0" xfId="72" applyFont="1" applyFill="1" applyAlignment="1">
      <alignment horizontal="left" vertical="top"/>
    </xf>
    <xf numFmtId="0" fontId="3" fillId="2" borderId="0" xfId="72" applyFont="1" applyFill="1" applyAlignment="1">
      <alignment horizontal="left" vertical="top"/>
    </xf>
    <xf numFmtId="0" fontId="3" fillId="5" borderId="0" xfId="72" applyFont="1" applyFill="1" applyAlignment="1">
      <alignment horizontal="left" vertical="top"/>
    </xf>
    <xf numFmtId="0" fontId="3" fillId="4" borderId="0" xfId="72" applyFont="1" applyFill="1" applyAlignment="1">
      <alignment horizontal="left" vertical="top"/>
    </xf>
    <xf numFmtId="0" fontId="3" fillId="55" borderId="0" xfId="72" applyFont="1" applyFill="1" applyAlignment="1">
      <alignment vertical="top"/>
    </xf>
    <xf numFmtId="0" fontId="7" fillId="0" borderId="0" xfId="72" applyFont="1" applyAlignment="1">
      <alignment vertical="top"/>
    </xf>
    <xf numFmtId="0" fontId="9" fillId="0" borderId="0" xfId="72" applyFont="1" applyAlignment="1">
      <alignment vertical="top"/>
    </xf>
    <xf numFmtId="0" fontId="3" fillId="42" borderId="0" xfId="72" applyFont="1" applyFill="1" applyAlignment="1">
      <alignment vertical="top"/>
    </xf>
    <xf numFmtId="0" fontId="7" fillId="41" borderId="0" xfId="72" applyFont="1" applyFill="1" applyAlignment="1">
      <alignment vertical="top"/>
    </xf>
    <xf numFmtId="0" fontId="3" fillId="2" borderId="0" xfId="72" applyFont="1" applyFill="1" applyAlignment="1">
      <alignment vertical="top"/>
    </xf>
    <xf numFmtId="0" fontId="3" fillId="5" borderId="0" xfId="72" applyFont="1" applyFill="1" applyAlignment="1">
      <alignment vertical="top"/>
    </xf>
    <xf numFmtId="0" fontId="3" fillId="6" borderId="0" xfId="72" applyFont="1" applyFill="1" applyAlignment="1">
      <alignment vertical="top"/>
    </xf>
    <xf numFmtId="0" fontId="3" fillId="4" borderId="0" xfId="72" applyFont="1" applyFill="1" applyAlignment="1">
      <alignment vertical="top"/>
    </xf>
    <xf numFmtId="0" fontId="3" fillId="43" borderId="0" xfId="72" applyFont="1" applyFill="1" applyAlignment="1">
      <alignment vertical="top"/>
    </xf>
    <xf numFmtId="0" fontId="3" fillId="44" borderId="0" xfId="72" applyFont="1" applyFill="1" applyAlignment="1">
      <alignment vertical="top"/>
    </xf>
    <xf numFmtId="0" fontId="3" fillId="7" borderId="0" xfId="72" applyFont="1" applyFill="1" applyAlignment="1">
      <alignment vertical="top"/>
    </xf>
    <xf numFmtId="0" fontId="3" fillId="3" borderId="0" xfId="72" applyFont="1" applyFill="1" applyAlignment="1">
      <alignment vertical="top"/>
    </xf>
    <xf numFmtId="167" fontId="60" fillId="54" borderId="0" xfId="80" applyNumberFormat="1" applyFont="1" applyFill="1" applyAlignment="1">
      <alignment vertical="top"/>
    </xf>
    <xf numFmtId="0" fontId="62" fillId="54" borderId="0" xfId="80" applyFont="1" applyFill="1"/>
    <xf numFmtId="0" fontId="62" fillId="0" borderId="0" xfId="80" applyFont="1"/>
    <xf numFmtId="0" fontId="43" fillId="0" borderId="0" xfId="80"/>
    <xf numFmtId="0" fontId="33" fillId="0" borderId="0" xfId="80" applyFont="1"/>
    <xf numFmtId="0" fontId="61" fillId="0" borderId="0" xfId="80" applyFont="1"/>
    <xf numFmtId="0" fontId="43" fillId="0" borderId="1" xfId="80" applyBorder="1"/>
    <xf numFmtId="0" fontId="43" fillId="0" borderId="2" xfId="80" applyBorder="1"/>
    <xf numFmtId="0" fontId="43" fillId="0" borderId="3" xfId="80" applyBorder="1"/>
    <xf numFmtId="0" fontId="43" fillId="0" borderId="22" xfId="80" applyBorder="1"/>
    <xf numFmtId="0" fontId="43" fillId="0" borderId="23" xfId="80" applyBorder="1"/>
    <xf numFmtId="0" fontId="43" fillId="0" borderId="24" xfId="80" applyBorder="1"/>
    <xf numFmtId="0" fontId="43" fillId="0" borderId="4" xfId="80" applyBorder="1"/>
    <xf numFmtId="167" fontId="64" fillId="56" borderId="35" xfId="80" applyNumberFormat="1" applyFont="1" applyFill="1" applyBorder="1" applyAlignment="1">
      <alignment horizontal="center" vertical="center"/>
    </xf>
    <xf numFmtId="0" fontId="43" fillId="0" borderId="5" xfId="80" applyBorder="1"/>
    <xf numFmtId="0" fontId="43" fillId="57" borderId="35" xfId="80" applyFill="1" applyBorder="1"/>
    <xf numFmtId="0" fontId="10" fillId="39" borderId="35" xfId="80" applyFont="1" applyFill="1" applyBorder="1"/>
    <xf numFmtId="0" fontId="43" fillId="0" borderId="20" xfId="80" applyBorder="1"/>
    <xf numFmtId="0" fontId="43" fillId="0" borderId="21" xfId="80" applyBorder="1"/>
    <xf numFmtId="0" fontId="43" fillId="0" borderId="7" xfId="80" applyBorder="1"/>
    <xf numFmtId="0" fontId="43" fillId="0" borderId="9" xfId="80" applyBorder="1"/>
    <xf numFmtId="0" fontId="43" fillId="0" borderId="8" xfId="80" applyBorder="1"/>
    <xf numFmtId="0" fontId="43" fillId="49" borderId="0" xfId="80" applyFill="1"/>
    <xf numFmtId="0" fontId="33" fillId="58" borderId="0" xfId="80" applyFont="1" applyFill="1"/>
    <xf numFmtId="0" fontId="43" fillId="58" borderId="0" xfId="80" applyFill="1"/>
    <xf numFmtId="0" fontId="43" fillId="0" borderId="0" xfId="80" applyAlignment="1">
      <alignment wrapText="1"/>
    </xf>
    <xf numFmtId="0" fontId="7" fillId="0" borderId="0" xfId="80" applyFont="1" applyAlignment="1">
      <alignment vertical="top"/>
    </xf>
    <xf numFmtId="0" fontId="3" fillId="0" borderId="0" xfId="80" applyFont="1" applyAlignment="1">
      <alignment horizontal="left" vertical="top" wrapText="1"/>
    </xf>
    <xf numFmtId="0" fontId="43" fillId="0" borderId="0" xfId="80" applyAlignment="1">
      <alignment horizontal="center"/>
    </xf>
    <xf numFmtId="0" fontId="43" fillId="0" borderId="38" xfId="80" applyBorder="1"/>
    <xf numFmtId="0" fontId="43" fillId="0" borderId="39" xfId="80" applyBorder="1"/>
    <xf numFmtId="167" fontId="10" fillId="58" borderId="30" xfId="80" applyNumberFormat="1" applyFont="1" applyFill="1" applyBorder="1"/>
    <xf numFmtId="0" fontId="43" fillId="0" borderId="40" xfId="80" applyBorder="1"/>
    <xf numFmtId="0" fontId="43" fillId="0" borderId="41" xfId="80" applyBorder="1"/>
    <xf numFmtId="0" fontId="10" fillId="59" borderId="35" xfId="80" applyFont="1" applyFill="1" applyBorder="1"/>
    <xf numFmtId="178" fontId="3" fillId="48" borderId="0" xfId="0" applyNumberFormat="1" applyFont="1" applyFill="1">
      <alignment vertical="top"/>
    </xf>
    <xf numFmtId="180" fontId="34" fillId="48" borderId="27" xfId="53" applyNumberFormat="1" applyFont="1" applyFill="1" applyBorder="1">
      <alignment vertical="top"/>
    </xf>
    <xf numFmtId="167" fontId="47" fillId="58" borderId="35" xfId="80" applyNumberFormat="1" applyFont="1" applyFill="1" applyBorder="1" applyAlignment="1">
      <alignment horizontal="center"/>
    </xf>
    <xf numFmtId="15" fontId="45" fillId="47" borderId="0" xfId="2" applyNumberFormat="1" applyFont="1" applyFill="1" applyAlignment="1">
      <alignment horizontal="left" vertical="top"/>
    </xf>
    <xf numFmtId="0" fontId="65" fillId="47" borderId="0" xfId="50" applyNumberFormat="1" applyFont="1" applyFill="1" applyAlignment="1">
      <alignment vertical="top"/>
    </xf>
    <xf numFmtId="170" fontId="34" fillId="0" borderId="0" xfId="0" applyNumberFormat="1" applyFont="1" applyFill="1" applyBorder="1" applyAlignment="1">
      <alignment horizontal="left" vertical="top"/>
    </xf>
    <xf numFmtId="0" fontId="3" fillId="46" borderId="29" xfId="72" applyFont="1" applyFill="1" applyBorder="1" applyAlignment="1">
      <alignment horizontal="left" vertical="top" wrapText="1"/>
    </xf>
    <xf numFmtId="0" fontId="3" fillId="46" borderId="30" xfId="72" applyFont="1" applyFill="1" applyBorder="1" applyAlignment="1">
      <alignment horizontal="left" vertical="top" wrapText="1"/>
    </xf>
    <xf numFmtId="0" fontId="3" fillId="46" borderId="31" xfId="72" applyFont="1" applyFill="1" applyBorder="1" applyAlignment="1">
      <alignment horizontal="left" vertical="top" wrapText="1"/>
    </xf>
    <xf numFmtId="0" fontId="34" fillId="41" borderId="36" xfId="72" applyFont="1" applyFill="1" applyBorder="1" applyAlignment="1">
      <alignment vertical="top" wrapText="1"/>
    </xf>
    <xf numFmtId="0" fontId="34" fillId="41" borderId="37" xfId="72" applyFont="1" applyFill="1" applyBorder="1" applyAlignment="1">
      <alignment vertical="top" wrapText="1"/>
    </xf>
  </cellXfs>
  <cellStyles count="81">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M Input" xfId="54" xr:uid="{00000000-0005-0000-0000-000019000000}"/>
    <cellStyle name="Calculation" xfId="19" builtinId="22" customBuiltin="1"/>
    <cellStyle name="Check Cell" xfId="21" builtinId="23" customBuiltin="1"/>
    <cellStyle name="Column 1" xfId="61" xr:uid="{00000000-0005-0000-0000-00001C000000}"/>
    <cellStyle name="Column 2 + 3" xfId="62" xr:uid="{00000000-0005-0000-0000-00001D000000}"/>
    <cellStyle name="Column 4" xfId="63" xr:uid="{00000000-0005-0000-0000-00001E000000}"/>
    <cellStyle name="Comma" xfId="52" builtinId="3" hidden="1"/>
    <cellStyle name="Comma" xfId="1" builtinId="3" hidden="1" customBuiltin="1"/>
    <cellStyle name="Comma" xfId="53" builtinId="3"/>
    <cellStyle name="Comma [0]" xfId="6" builtinId="6" hidden="1" customBuiltin="1"/>
    <cellStyle name="Comma 2" xfId="56" xr:uid="{00000000-0005-0000-0000-000023000000}"/>
    <cellStyle name="Comma 4" xfId="79" xr:uid="{00000000-0005-0000-0000-000024000000}"/>
    <cellStyle name="Currency" xfId="7" builtinId="4" hidden="1" customBuiltin="1"/>
    <cellStyle name="Currency [0]" xfId="8" builtinId="7" hidden="1" customBuiltin="1"/>
    <cellStyle name="DateLong" xfId="2" xr:uid="{00000000-0005-0000-0000-000027000000}"/>
    <cellStyle name="DateLong 2" xfId="59" xr:uid="{00000000-0005-0000-0000-000028000000}"/>
    <cellStyle name="DateShort" xfId="3" xr:uid="{00000000-0005-0000-0000-000029000000}"/>
    <cellStyle name="End of sheet" xfId="71" xr:uid="{00000000-0005-0000-0000-00002A000000}"/>
    <cellStyle name="Explanatory Text" xfId="24" builtinId="53" customBuiltin="1"/>
    <cellStyle name="Factor" xfId="4" xr:uid="{00000000-0005-0000-0000-00002C000000}"/>
    <cellStyle name="Factor 2" xfId="58" xr:uid="{00000000-0005-0000-0000-00002D000000}"/>
    <cellStyle name="Good" xfId="14" builtinId="26" customBuiltin="1"/>
    <cellStyle name="Heading 1" xfId="10" builtinId="16" customBuiltin="1"/>
    <cellStyle name="Heading 1 3" xfId="70" xr:uid="{00000000-0005-0000-0000-000030000000}"/>
    <cellStyle name="Heading 2" xfId="11" builtinId="17" customBuiltin="1"/>
    <cellStyle name="Heading 3" xfId="12" builtinId="18" customBuiltin="1"/>
    <cellStyle name="Heading 4" xfId="13" builtinId="19" customBuiltin="1"/>
    <cellStyle name="Hyperlink" xfId="50" builtinId="8" customBuiltin="1"/>
    <cellStyle name="Hyperlink 2" xfId="65" xr:uid="{00000000-0005-0000-0000-000035000000}"/>
    <cellStyle name="Hyperlink 2 2" xfId="73" xr:uid="{00000000-0005-0000-0000-000036000000}"/>
    <cellStyle name="Hyperlink 4" xfId="69" xr:uid="{00000000-0005-0000-0000-000037000000}"/>
    <cellStyle name="Import" xfId="64" xr:uid="{00000000-0005-0000-0000-000038000000}"/>
    <cellStyle name="Input" xfId="17" builtinId="20" customBuiltin="1"/>
    <cellStyle name="Linked Cell" xfId="20" builtinId="24" customBuiltin="1"/>
    <cellStyle name="Neutral" xfId="16" builtinId="28" customBuiltin="1"/>
    <cellStyle name="Normal" xfId="0" builtinId="0" customBuiltin="1"/>
    <cellStyle name="Normal 2" xfId="55" xr:uid="{00000000-0005-0000-0000-00003D000000}"/>
    <cellStyle name="Normal 2 2" xfId="75" xr:uid="{00000000-0005-0000-0000-00003E000000}"/>
    <cellStyle name="Normal 2 2 2" xfId="76" xr:uid="{00000000-0005-0000-0000-00003F000000}"/>
    <cellStyle name="Normal 3" xfId="72" xr:uid="{00000000-0005-0000-0000-000040000000}"/>
    <cellStyle name="Normal 4" xfId="68" xr:uid="{00000000-0005-0000-0000-000041000000}"/>
    <cellStyle name="Normal 4 2" xfId="74" xr:uid="{00000000-0005-0000-0000-000042000000}"/>
    <cellStyle name="Normal 5" xfId="67" xr:uid="{00000000-0005-0000-0000-000043000000}"/>
    <cellStyle name="Normal 6" xfId="77" xr:uid="{00000000-0005-0000-0000-000044000000}"/>
    <cellStyle name="Normal 9" xfId="80" xr:uid="{00000000-0005-0000-0000-000045000000}"/>
    <cellStyle name="Note" xfId="23" builtinId="10" customBuiltin="1"/>
    <cellStyle name="Output" xfId="18" builtinId="21" customBuiltin="1"/>
    <cellStyle name="Percent" xfId="5" builtinId="5" customBuiltin="1"/>
    <cellStyle name="Percent 2" xfId="57" xr:uid="{00000000-0005-0000-0000-000049000000}"/>
    <cellStyle name="Percent 3" xfId="78" xr:uid="{00000000-0005-0000-0000-00004A000000}"/>
    <cellStyle name="Title" xfId="9" builtinId="15" customBuiltin="1"/>
    <cellStyle name="Title 3" xfId="66" xr:uid="{00000000-0005-0000-0000-00004C000000}"/>
    <cellStyle name="Total" xfId="25" builtinId="25" customBuiltin="1"/>
    <cellStyle name="Warning Text" xfId="22" builtinId="11" customBuiltin="1"/>
    <cellStyle name="Year" xfId="51" xr:uid="{00000000-0005-0000-0000-00004F000000}"/>
    <cellStyle name="Year 2" xfId="60" xr:uid="{00000000-0005-0000-0000-000050000000}"/>
  </cellStyles>
  <dxfs count="111">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indexed="51"/>
        </patternFill>
      </fill>
    </dxf>
    <dxf>
      <fill>
        <patternFill>
          <bgColor indexed="51"/>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indexed="51"/>
        </patternFill>
      </fill>
    </dxf>
    <dxf>
      <fill>
        <patternFill>
          <bgColor indexed="51"/>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00"/>
      <color rgb="FFCCFFFF"/>
      <color rgb="FF0000FF"/>
      <color rgb="FFC0C0C0"/>
      <color rgb="FF99CCFF"/>
      <color rgb="FFD9D9D9"/>
      <color rgb="FFFFCC99"/>
      <color rgb="FFE26B0A"/>
      <color rgb="FF0086BF"/>
      <color rgb="FF71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1546717</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485775"/>
          <a:ext cx="3657890" cy="1089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2989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64960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78"/>
  <sheetViews>
    <sheetView zoomScaleNormal="100" workbookViewId="0"/>
  </sheetViews>
  <sheetFormatPr defaultColWidth="0" defaultRowHeight="14.1" customHeight="1" zeroHeight="1"/>
  <cols>
    <col min="1" max="1" width="9.88671875" style="357" customWidth="1"/>
    <col min="2" max="2" width="29.6640625" style="357" customWidth="1"/>
    <col min="3" max="3" width="19.109375" style="357" customWidth="1"/>
    <col min="4" max="4" width="29.6640625" style="357" customWidth="1"/>
    <col min="5" max="5" width="73.88671875" style="357" customWidth="1"/>
    <col min="6" max="6" width="32.88671875" style="357" customWidth="1"/>
    <col min="7" max="7" width="9.88671875" style="357" customWidth="1"/>
    <col min="8" max="8" width="4.88671875" style="357" customWidth="1"/>
    <col min="9" max="9" width="21.109375" style="357" customWidth="1"/>
    <col min="10" max="13" width="0" style="357" hidden="1" customWidth="1"/>
    <col min="14" max="16384" width="9.88671875" style="357" hidden="1"/>
  </cols>
  <sheetData>
    <row r="1" spans="1:9" s="355" customFormat="1" ht="28.8" thickBot="1">
      <c r="A1" s="353" t="str">
        <f ca="1" xml:space="preserve"> RIGHT(CELL("filename", $A$1), LEN(CELL("filename", $A$1)) - SEARCH("]", CELL("filename", $A$1)))</f>
        <v>Cover</v>
      </c>
      <c r="B1" s="353"/>
      <c r="C1" s="354"/>
      <c r="D1" s="353"/>
      <c r="E1" s="353"/>
      <c r="F1" s="353"/>
      <c r="G1" s="353"/>
      <c r="H1" s="354"/>
      <c r="I1" s="354"/>
    </row>
    <row r="2" spans="1:9" ht="16.8" thickTop="1">
      <c r="A2" s="356"/>
      <c r="B2" s="356"/>
      <c r="C2" s="356"/>
      <c r="D2" s="356"/>
      <c r="E2" s="356"/>
      <c r="F2" s="356"/>
      <c r="G2" s="356"/>
      <c r="H2" s="356"/>
      <c r="I2" s="356"/>
    </row>
    <row r="3" spans="1:9" ht="16.2">
      <c r="A3" s="356"/>
      <c r="B3" s="358" t="s">
        <v>0</v>
      </c>
      <c r="C3" s="358" t="s">
        <v>1</v>
      </c>
      <c r="D3" s="356"/>
      <c r="E3" s="356"/>
      <c r="F3" s="356"/>
      <c r="G3" s="356"/>
      <c r="H3" s="356"/>
      <c r="I3" s="356"/>
    </row>
    <row r="4" spans="1:9" ht="16.2">
      <c r="A4" s="356"/>
      <c r="B4" s="358" t="s">
        <v>2</v>
      </c>
      <c r="C4" s="359" t="s">
        <v>3</v>
      </c>
      <c r="D4" s="356"/>
      <c r="E4" s="356"/>
      <c r="F4" s="356"/>
      <c r="G4" s="356"/>
      <c r="H4" s="356"/>
      <c r="I4" s="356"/>
    </row>
    <row r="5" spans="1:9" ht="16.2">
      <c r="A5" s="356"/>
      <c r="B5" s="358" t="s">
        <v>4</v>
      </c>
      <c r="C5" s="358" t="s">
        <v>5</v>
      </c>
      <c r="D5" s="356"/>
      <c r="E5" s="356"/>
      <c r="F5" s="356"/>
      <c r="G5" s="356"/>
      <c r="H5" s="356"/>
      <c r="I5" s="356"/>
    </row>
    <row r="6" spans="1:9" ht="16.2">
      <c r="A6" s="356"/>
      <c r="B6" s="358" t="s">
        <v>6</v>
      </c>
      <c r="C6" s="463">
        <v>45027</v>
      </c>
      <c r="D6" s="356"/>
      <c r="E6" s="356"/>
      <c r="F6" s="356"/>
      <c r="G6" s="356"/>
      <c r="H6" s="356"/>
      <c r="I6" s="356"/>
    </row>
    <row r="7" spans="1:9" ht="16.2">
      <c r="A7" s="356"/>
      <c r="B7" s="358" t="s">
        <v>7</v>
      </c>
      <c r="C7" s="358" t="s">
        <v>8</v>
      </c>
      <c r="D7" s="356"/>
      <c r="E7" s="356"/>
      <c r="F7" s="356"/>
      <c r="G7" s="356"/>
      <c r="H7" s="356"/>
      <c r="I7" s="356"/>
    </row>
    <row r="8" spans="1:9" ht="16.2">
      <c r="A8" s="356"/>
      <c r="B8" s="358" t="s">
        <v>9</v>
      </c>
      <c r="C8" s="464" t="s">
        <v>10</v>
      </c>
      <c r="D8" s="356"/>
      <c r="E8" s="356"/>
      <c r="F8" s="356"/>
      <c r="G8" s="356"/>
      <c r="H8" s="356"/>
      <c r="I8" s="356"/>
    </row>
    <row r="9" spans="1:9" ht="16.2">
      <c r="A9" s="356"/>
      <c r="B9" s="356"/>
      <c r="C9" s="356"/>
      <c r="D9" s="356"/>
      <c r="E9" s="356"/>
      <c r="F9" s="356"/>
      <c r="G9" s="356"/>
      <c r="H9" s="356"/>
      <c r="I9" s="356"/>
    </row>
    <row r="10" spans="1:9" ht="14.4">
      <c r="A10" s="360"/>
      <c r="B10" s="360"/>
      <c r="C10" s="361"/>
      <c r="D10" s="360"/>
      <c r="E10" s="360"/>
      <c r="F10" s="360"/>
      <c r="G10" s="360"/>
      <c r="H10" s="360"/>
      <c r="I10" s="360"/>
    </row>
    <row r="11" spans="1:9" ht="13.8">
      <c r="A11" s="360"/>
      <c r="B11" s="360" t="s">
        <v>11</v>
      </c>
      <c r="C11" s="332" t="s">
        <v>12</v>
      </c>
      <c r="D11" s="360"/>
      <c r="E11" s="360"/>
      <c r="F11" s="360"/>
      <c r="G11" s="360"/>
      <c r="H11" s="360"/>
      <c r="I11" s="360"/>
    </row>
    <row r="12" spans="1:9" ht="13.8">
      <c r="A12" s="360"/>
      <c r="B12" s="360"/>
      <c r="C12" s="360"/>
      <c r="D12" s="360"/>
      <c r="E12" s="360"/>
      <c r="F12" s="360"/>
      <c r="G12" s="360"/>
      <c r="H12" s="360"/>
      <c r="I12" s="360"/>
    </row>
    <row r="13" spans="1:9" ht="13.8">
      <c r="A13" s="360"/>
      <c r="B13" s="360" t="s">
        <v>13</v>
      </c>
      <c r="C13" s="360"/>
      <c r="D13" s="360"/>
      <c r="E13" s="360"/>
      <c r="F13" s="360"/>
      <c r="G13" s="360"/>
      <c r="H13" s="360"/>
      <c r="I13" s="360"/>
    </row>
    <row r="14" spans="1:9" ht="13.8">
      <c r="A14" s="360"/>
      <c r="B14" s="360"/>
      <c r="C14" s="360"/>
      <c r="D14" s="360"/>
      <c r="E14" s="360"/>
      <c r="F14" s="360"/>
      <c r="G14" s="360"/>
      <c r="H14" s="360"/>
      <c r="I14" s="360"/>
    </row>
    <row r="15" spans="1:9" ht="16.2">
      <c r="A15" s="360"/>
      <c r="B15" s="360" t="s">
        <v>14</v>
      </c>
      <c r="C15" s="332"/>
      <c r="D15" s="362"/>
      <c r="E15" s="362"/>
      <c r="F15" s="362"/>
      <c r="G15" s="360"/>
      <c r="H15" s="360"/>
      <c r="I15" s="360"/>
    </row>
    <row r="16" spans="1:9" ht="13.8">
      <c r="A16" s="360"/>
      <c r="B16" s="360"/>
      <c r="C16" s="363" t="s">
        <v>15</v>
      </c>
      <c r="D16" s="364"/>
      <c r="E16" s="365" t="s">
        <v>16</v>
      </c>
      <c r="F16" s="366" t="s">
        <v>17</v>
      </c>
      <c r="G16" s="360"/>
      <c r="H16" s="360"/>
      <c r="I16" s="360"/>
    </row>
    <row r="17" spans="1:9" ht="26.4">
      <c r="A17" s="360"/>
      <c r="B17" s="360"/>
      <c r="C17" s="469" t="s">
        <v>18</v>
      </c>
      <c r="D17" s="470"/>
      <c r="E17" s="367" t="s">
        <v>19</v>
      </c>
      <c r="F17" s="368" t="s">
        <v>20</v>
      </c>
      <c r="G17" s="360"/>
      <c r="H17" s="360"/>
      <c r="I17" s="360"/>
    </row>
    <row r="18" spans="1:9" ht="26.4">
      <c r="A18" s="360"/>
      <c r="B18" s="360"/>
      <c r="C18" s="377" t="s">
        <v>21</v>
      </c>
      <c r="D18" s="378"/>
      <c r="E18" s="367" t="s">
        <v>22</v>
      </c>
      <c r="F18" s="368" t="s">
        <v>20</v>
      </c>
      <c r="G18" s="360"/>
      <c r="H18" s="360"/>
      <c r="I18" s="360"/>
    </row>
    <row r="19" spans="1:9" ht="39.6">
      <c r="A19" s="360"/>
      <c r="B19" s="360"/>
      <c r="C19" s="469" t="s">
        <v>23</v>
      </c>
      <c r="D19" s="470"/>
      <c r="E19" s="367" t="s">
        <v>24</v>
      </c>
      <c r="F19" s="368" t="s">
        <v>20</v>
      </c>
      <c r="G19" s="360"/>
      <c r="H19" s="360"/>
      <c r="I19" s="360"/>
    </row>
    <row r="20" spans="1:9" ht="13.8">
      <c r="A20" s="360"/>
      <c r="B20" s="360"/>
      <c r="C20" s="360"/>
      <c r="D20" s="360"/>
      <c r="E20" s="360"/>
      <c r="F20" s="360"/>
      <c r="G20" s="360"/>
      <c r="H20" s="360"/>
      <c r="I20" s="360"/>
    </row>
    <row r="21" spans="1:9" ht="13.8">
      <c r="A21" s="360"/>
      <c r="B21" s="360"/>
      <c r="C21" s="360"/>
      <c r="D21" s="360"/>
      <c r="E21" s="360"/>
      <c r="F21" s="360"/>
      <c r="G21" s="360"/>
      <c r="H21" s="360"/>
      <c r="I21" s="360"/>
    </row>
    <row r="22" spans="1:9" ht="16.2">
      <c r="B22" s="360" t="s">
        <v>25</v>
      </c>
      <c r="C22" s="369" t="s">
        <v>26</v>
      </c>
      <c r="D22" s="362"/>
      <c r="E22" s="362"/>
      <c r="F22" s="362"/>
    </row>
    <row r="23" spans="1:9" ht="16.2">
      <c r="B23" s="370"/>
      <c r="C23" s="369" t="s">
        <v>27</v>
      </c>
      <c r="D23" s="362"/>
      <c r="E23" s="362"/>
      <c r="F23" s="362"/>
    </row>
    <row r="24" spans="1:9" ht="16.2">
      <c r="B24" s="370"/>
      <c r="C24" s="363" t="s">
        <v>28</v>
      </c>
      <c r="D24" s="365" t="s">
        <v>29</v>
      </c>
      <c r="E24" s="365" t="s">
        <v>30</v>
      </c>
      <c r="F24" s="366" t="s">
        <v>31</v>
      </c>
    </row>
    <row r="25" spans="1:9" ht="14.4" customHeight="1">
      <c r="B25" s="370"/>
      <c r="C25" s="399" t="s">
        <v>32</v>
      </c>
      <c r="D25" s="399" t="s">
        <v>33</v>
      </c>
      <c r="E25" s="399" t="s">
        <v>34</v>
      </c>
      <c r="F25" s="400" t="str">
        <f ca="1">ToC!A1</f>
        <v>ToC</v>
      </c>
    </row>
    <row r="26" spans="1:9" ht="16.2">
      <c r="B26" s="370"/>
      <c r="C26" s="466" t="s">
        <v>32</v>
      </c>
      <c r="D26" s="466" t="s">
        <v>35</v>
      </c>
      <c r="E26" s="466" t="s">
        <v>36</v>
      </c>
      <c r="F26" s="400" t="str">
        <f xml:space="preserve"> Inputs!E79</f>
        <v>Revised K - Water Res</v>
      </c>
    </row>
    <row r="27" spans="1:9" ht="16.2">
      <c r="B27" s="370"/>
      <c r="C27" s="467"/>
      <c r="D27" s="467"/>
      <c r="E27" s="467"/>
      <c r="F27" s="400" t="str">
        <f xml:space="preserve"> Inputs!E97</f>
        <v>Revised K - Water-N+</v>
      </c>
    </row>
    <row r="28" spans="1:9" ht="16.2">
      <c r="B28" s="370"/>
      <c r="C28" s="468"/>
      <c r="D28" s="468"/>
      <c r="E28" s="468"/>
      <c r="F28" s="400" t="str">
        <f>Inputs!E117</f>
        <v>Revised K - WW-N+</v>
      </c>
    </row>
    <row r="29" spans="1:9" ht="16.2">
      <c r="B29" s="370"/>
      <c r="C29" s="399" t="s">
        <v>37</v>
      </c>
      <c r="D29" s="399" t="s">
        <v>38</v>
      </c>
      <c r="E29" s="399" t="s">
        <v>39</v>
      </c>
      <c r="F29" s="400" t="str">
        <f xml:space="preserve"> 'Wholesale Water'!E101</f>
        <v>Revenue Imbalance - Water-N+</v>
      </c>
    </row>
    <row r="30" spans="1:9" ht="16.2">
      <c r="B30" s="370"/>
      <c r="C30" s="399" t="s">
        <v>37</v>
      </c>
      <c r="D30" s="399" t="s">
        <v>38</v>
      </c>
      <c r="E30" s="399" t="s">
        <v>40</v>
      </c>
      <c r="F30" s="400" t="str">
        <f>'Wholesale Water'!$E$113</f>
        <v>Revenue Imbalance - Water Res</v>
      </c>
    </row>
    <row r="31" spans="1:9" ht="26.4">
      <c r="B31" s="370"/>
      <c r="C31" s="399" t="s">
        <v>37</v>
      </c>
      <c r="D31" s="399" t="s">
        <v>41</v>
      </c>
      <c r="E31" s="399" t="s">
        <v>42</v>
      </c>
      <c r="F31" s="400">
        <f xml:space="preserve"> 'Wholesale Water'!V33</f>
        <v>0</v>
      </c>
    </row>
    <row r="32" spans="1:9" ht="26.4">
      <c r="B32" s="370"/>
      <c r="C32" s="399" t="s">
        <v>37</v>
      </c>
      <c r="D32" s="399" t="s">
        <v>41</v>
      </c>
      <c r="E32" s="399" t="s">
        <v>43</v>
      </c>
      <c r="F32" s="400" t="str">
        <f xml:space="preserve"> 'Wholesale Water'!E184</f>
        <v>Forecast period flag</v>
      </c>
    </row>
    <row r="33" spans="1:9" ht="52.8">
      <c r="B33" s="370"/>
      <c r="C33" s="399" t="s">
        <v>32</v>
      </c>
      <c r="D33" s="399" t="s">
        <v>44</v>
      </c>
      <c r="E33" s="399" t="s">
        <v>45</v>
      </c>
      <c r="F33" s="400"/>
    </row>
    <row r="34" spans="1:9" ht="13.8"/>
    <row r="35" spans="1:9" ht="13.8"/>
    <row r="36" spans="1:9" ht="13.8">
      <c r="B36" s="360" t="s">
        <v>46</v>
      </c>
      <c r="C36" s="371">
        <f>Check!$F$2</f>
        <v>0</v>
      </c>
    </row>
    <row r="37" spans="1:9" ht="13.8">
      <c r="B37" s="360" t="s">
        <v>47</v>
      </c>
      <c r="C37" s="372">
        <f>Check!$F$3</f>
        <v>3</v>
      </c>
    </row>
    <row r="38" spans="1:9" ht="13.8"/>
    <row r="39" spans="1:9" ht="13.8">
      <c r="B39" s="360"/>
      <c r="C39" s="360"/>
      <c r="D39" s="360"/>
    </row>
    <row r="40" spans="1:9" ht="13.8">
      <c r="B40" s="360"/>
      <c r="C40" s="360"/>
      <c r="D40" s="373"/>
    </row>
    <row r="41" spans="1:9" ht="13.8"/>
    <row r="42" spans="1:9" ht="13.8"/>
    <row r="43" spans="1:9" ht="13.8">
      <c r="A43" s="374" t="s">
        <v>48</v>
      </c>
      <c r="B43" s="374"/>
      <c r="C43" s="374"/>
      <c r="D43" s="375"/>
      <c r="E43" s="376"/>
      <c r="F43" s="376"/>
      <c r="G43" s="376"/>
      <c r="H43" s="376"/>
      <c r="I43" s="376"/>
    </row>
    <row r="44" spans="1:9" ht="13.8"/>
    <row r="45" spans="1:9" ht="13.8"/>
    <row r="46" spans="1:9" ht="13.8"/>
    <row r="47" spans="1:9" ht="13.8" hidden="1"/>
    <row r="48" spans="1:9" ht="13.8" hidden="1"/>
    <row r="49" s="357" customFormat="1" ht="13.8" hidden="1"/>
    <row r="50" s="357" customFormat="1" ht="13.8" hidden="1"/>
    <row r="51" s="357" customFormat="1" ht="13.8" hidden="1"/>
    <row r="52" s="357" customFormat="1" ht="13.8" hidden="1"/>
    <row r="53" s="357" customFormat="1" ht="13.8" hidden="1"/>
    <row r="54" s="357" customFormat="1" ht="13.8" hidden="1"/>
    <row r="55" s="357" customFormat="1" ht="13.8" hidden="1"/>
    <row r="56" s="357" customFormat="1" ht="13.8" hidden="1"/>
    <row r="57" s="357" customFormat="1" ht="13.8" hidden="1"/>
    <row r="58" s="357" customFormat="1" ht="13.8" hidden="1"/>
    <row r="59" s="357" customFormat="1" ht="13.8" hidden="1"/>
    <row r="60" s="357" customFormat="1" ht="13.8" hidden="1"/>
    <row r="61" s="357" customFormat="1" ht="13.8" hidden="1"/>
    <row r="62" s="357" customFormat="1" ht="13.8" hidden="1"/>
    <row r="63" s="357" customFormat="1" ht="13.8" hidden="1"/>
    <row r="64" s="357" customFormat="1" ht="13.8" hidden="1"/>
    <row r="65" s="357" customFormat="1" ht="13.8" hidden="1"/>
    <row r="66" s="357" customFormat="1" ht="13.8" hidden="1"/>
    <row r="67" s="357" customFormat="1" ht="13.8" hidden="1"/>
    <row r="68" s="357" customFormat="1" ht="13.8" hidden="1"/>
    <row r="69" s="357" customFormat="1" ht="13.8" hidden="1"/>
    <row r="70" s="357" customFormat="1" ht="13.8" hidden="1"/>
    <row r="71" s="357" customFormat="1" ht="13.8" hidden="1"/>
    <row r="72" s="357" customFormat="1" ht="14.1" customHeight="1"/>
    <row r="73" s="357" customFormat="1" ht="14.1" customHeight="1"/>
    <row r="74" s="357" customFormat="1" ht="14.1" customHeight="1"/>
    <row r="75" s="357" customFormat="1" ht="14.1" customHeight="1"/>
    <row r="76" s="357" customFormat="1" ht="14.1" customHeight="1"/>
    <row r="77" s="357" customFormat="1" ht="14.1" customHeight="1"/>
    <row r="78" s="357" customFormat="1" ht="14.1" customHeight="1"/>
  </sheetData>
  <mergeCells count="5">
    <mergeCell ref="E26:E28"/>
    <mergeCell ref="C19:D19"/>
    <mergeCell ref="C17:D17"/>
    <mergeCell ref="C26:C28"/>
    <mergeCell ref="D26:D28"/>
  </mergeCells>
  <conditionalFormatting sqref="C36">
    <cfRule type="cellIs" dxfId="110" priority="3" stopIfTrue="1" operator="notEqual">
      <formula>0</formula>
    </cfRule>
    <cfRule type="cellIs" dxfId="109" priority="4" stopIfTrue="1" operator="equal">
      <formula>""</formula>
    </cfRule>
  </conditionalFormatting>
  <conditionalFormatting sqref="C37">
    <cfRule type="cellIs" dxfId="108" priority="1" stopIfTrue="1" operator="notEqual">
      <formula>0</formula>
    </cfRule>
    <cfRule type="cellIs" dxfId="107" priority="2" stopIfTrue="1" operator="equal">
      <formula>""</formula>
    </cfRule>
  </conditionalFormatting>
  <dataValidations count="1">
    <dataValidation type="list" allowBlank="1" showInputMessage="1" showErrorMessage="1" sqref="C25:C26 C29:C33" xr:uid="{00000000-0002-0000-0000-000000000000}">
      <formula1>"Clarification,Formula Update,New Functionality,Logic Update,New Validation"</formula1>
    </dataValidation>
  </dataValidations>
  <hyperlinks>
    <hyperlink ref="C8" r:id="rId1" xr:uid="{4ACFB6C9-DE17-4D86-95FA-5DB4F1CEB8EF}"/>
  </hyperlinks>
  <pageMargins left="0.70866141732283472" right="0.70866141732283472" top="0.74803149606299213" bottom="0.74803149606299213" header="0.31496062992125984" footer="0.31496062992125984"/>
  <pageSetup paperSize="9" scale="58" orientation="landscape"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9CCFF"/>
    <outlinePr summaryBelow="0" summaryRight="0"/>
    <pageSetUpPr fitToPage="1"/>
  </sheetPr>
  <dimension ref="A1:W18"/>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F_Outputs</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Check!F$24</f>
        <v>3</v>
      </c>
      <c r="G3" s="82" t="str">
        <f xml:space="preserve"> Check!G$24</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428</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s="326" t="str">
        <f xml:space="preserve"> 'Wholesale Water'!E$284</f>
        <v>Total adjustment at the end of AMP7 - Water-N+</v>
      </c>
      <c r="F9" s="326">
        <f xml:space="preserve"> 'Wholesale Water'!F$284</f>
        <v>0</v>
      </c>
      <c r="G9" s="326" t="str">
        <f xml:space="preserve"> 'Wholesale Water'!G$284</f>
        <v>£m</v>
      </c>
      <c r="H9" s="171">
        <f xml:space="preserve"> 'Wholesale Water'!H$284</f>
        <v>1077.8849985081522</v>
      </c>
      <c r="I9" s="171">
        <f xml:space="preserve"> 'Wholesale Water'!I$284</f>
        <v>0</v>
      </c>
      <c r="J9" s="203">
        <f xml:space="preserve"> 'Wholesale Water'!J$284</f>
        <v>0</v>
      </c>
      <c r="K9" s="203">
        <f xml:space="preserve"> 'Wholesale Water'!K$284</f>
        <v>0</v>
      </c>
      <c r="L9" s="203">
        <f xml:space="preserve"> 'Wholesale Water'!L$284</f>
        <v>0</v>
      </c>
      <c r="M9" s="203">
        <f xml:space="preserve"> 'Wholesale Water'!M$284</f>
        <v>0</v>
      </c>
      <c r="N9" s="203">
        <f xml:space="preserve"> 'Wholesale Water'!N$284</f>
        <v>0</v>
      </c>
      <c r="O9" s="203">
        <f xml:space="preserve"> 'Wholesale Water'!O$284</f>
        <v>0</v>
      </c>
      <c r="P9" s="203">
        <f xml:space="preserve"> 'Wholesale Water'!P$284</f>
        <v>0</v>
      </c>
      <c r="Q9" s="203">
        <f xml:space="preserve"> 'Wholesale Water'!Q$284</f>
        <v>0</v>
      </c>
      <c r="R9" s="203">
        <f xml:space="preserve"> 'Wholesale Water'!R$284</f>
        <v>0</v>
      </c>
      <c r="S9" s="203">
        <f xml:space="preserve"> 'Wholesale Water'!S$284</f>
        <v>0</v>
      </c>
      <c r="T9" s="203">
        <f xml:space="preserve"> 'Wholesale Water'!T$284</f>
        <v>1077.8849985081522</v>
      </c>
      <c r="U9" s="203">
        <f xml:space="preserve"> 'Wholesale Water'!U$284</f>
        <v>0</v>
      </c>
      <c r="V9" s="203">
        <f xml:space="preserve"> 'Wholesale Water'!V$284</f>
        <v>0</v>
      </c>
      <c r="W9" s="203">
        <f xml:space="preserve"> 'Wholesale Water'!W$284</f>
        <v>0</v>
      </c>
    </row>
    <row r="10" spans="1:23">
      <c r="E10" s="171"/>
      <c r="F10" s="171"/>
      <c r="G10" s="171"/>
      <c r="H10" s="171"/>
      <c r="I10" s="171"/>
      <c r="J10" s="203"/>
      <c r="K10" s="203"/>
      <c r="L10" s="203"/>
      <c r="M10" s="203"/>
      <c r="N10" s="203"/>
      <c r="O10" s="203"/>
      <c r="P10" s="203"/>
      <c r="Q10" s="203"/>
      <c r="R10" s="203"/>
      <c r="S10" s="203"/>
      <c r="T10" s="203"/>
      <c r="U10" s="203"/>
      <c r="V10" s="203"/>
      <c r="W10" s="203"/>
    </row>
    <row r="11" spans="1:23">
      <c r="E11" s="171" t="str">
        <f xml:space="preserve"> 'Wholesale Water'!E$288</f>
        <v>Total adjustment at the end of AMP7 - Water Res</v>
      </c>
      <c r="F11" s="171">
        <f xml:space="preserve"> 'Wholesale Water'!F$288</f>
        <v>0</v>
      </c>
      <c r="G11" s="171" t="str">
        <f xml:space="preserve"> 'Wholesale Water'!G$288</f>
        <v>£m</v>
      </c>
      <c r="H11" s="171">
        <f xml:space="preserve"> 'Wholesale Water'!H$288</f>
        <v>79.895319770346646</v>
      </c>
      <c r="I11" s="171">
        <f xml:space="preserve"> 'Wholesale Water'!I$288</f>
        <v>0</v>
      </c>
      <c r="J11" s="171">
        <f xml:space="preserve"> 'Wholesale Water'!J$288</f>
        <v>0</v>
      </c>
      <c r="K11" s="171">
        <f xml:space="preserve"> 'Wholesale Water'!K$288</f>
        <v>0</v>
      </c>
      <c r="L11" s="171">
        <f xml:space="preserve"> 'Wholesale Water'!L$288</f>
        <v>0</v>
      </c>
      <c r="M11" s="171">
        <f xml:space="preserve"> 'Wholesale Water'!M$288</f>
        <v>0</v>
      </c>
      <c r="N11" s="171">
        <f xml:space="preserve"> 'Wholesale Water'!N$288</f>
        <v>0</v>
      </c>
      <c r="O11" s="171">
        <f xml:space="preserve"> 'Wholesale Water'!O$288</f>
        <v>0</v>
      </c>
      <c r="P11" s="171">
        <f xml:space="preserve"> 'Wholesale Water'!P$288</f>
        <v>0</v>
      </c>
      <c r="Q11" s="171">
        <f xml:space="preserve"> 'Wholesale Water'!Q$288</f>
        <v>0</v>
      </c>
      <c r="R11" s="171">
        <f xml:space="preserve"> 'Wholesale Water'!R$288</f>
        <v>0</v>
      </c>
      <c r="S11" s="171">
        <f xml:space="preserve"> 'Wholesale Water'!S$288</f>
        <v>0</v>
      </c>
      <c r="T11" s="171">
        <f xml:space="preserve"> 'Wholesale Water'!T$288</f>
        <v>79.895319770346646</v>
      </c>
      <c r="U11" s="171">
        <f xml:space="preserve"> 'Wholesale Water'!U$288</f>
        <v>0</v>
      </c>
      <c r="V11" s="171">
        <f xml:space="preserve"> 'Wholesale Water'!V$288</f>
        <v>0</v>
      </c>
      <c r="W11" s="171">
        <f xml:space="preserve"> 'Wholesale Water'!W$288</f>
        <v>0</v>
      </c>
    </row>
    <row r="12" spans="1:23">
      <c r="J12" s="214"/>
      <c r="K12" s="214"/>
      <c r="L12" s="214"/>
      <c r="M12" s="214"/>
      <c r="N12" s="215"/>
      <c r="O12" s="215"/>
      <c r="P12" s="215"/>
      <c r="Q12" s="215"/>
      <c r="R12" s="215"/>
      <c r="S12" s="214"/>
      <c r="T12" s="214"/>
      <c r="U12" s="214"/>
      <c r="V12" s="214"/>
      <c r="W12" s="214"/>
    </row>
    <row r="13" spans="1:23">
      <c r="E13" s="170" t="str">
        <f xml:space="preserve"> 'Wastewater Network-Plus'!E$141</f>
        <v>Total adjustment at the end of AMP7 - WW-N+</v>
      </c>
      <c r="F13" s="170">
        <f xml:space="preserve"> 'Wastewater Network-Plus'!F$141</f>
        <v>0</v>
      </c>
      <c r="G13" s="170" t="str">
        <f xml:space="preserve"> 'Wastewater Network-Plus'!G$141</f>
        <v>£m</v>
      </c>
      <c r="H13" s="170">
        <f xml:space="preserve"> 'Wastewater Network-Plus'!H$141</f>
        <v>1004.9756502122648</v>
      </c>
      <c r="I13" s="170">
        <f xml:space="preserve"> 'Wastewater Network-Plus'!I$141</f>
        <v>0</v>
      </c>
      <c r="J13" s="203">
        <f xml:space="preserve"> 'Wastewater Network-Plus'!J$141</f>
        <v>0</v>
      </c>
      <c r="K13" s="203">
        <f xml:space="preserve"> 'Wastewater Network-Plus'!K$141</f>
        <v>0</v>
      </c>
      <c r="L13" s="203">
        <f xml:space="preserve"> 'Wastewater Network-Plus'!L$141</f>
        <v>0</v>
      </c>
      <c r="M13" s="203">
        <f xml:space="preserve"> 'Wastewater Network-Plus'!M$141</f>
        <v>0</v>
      </c>
      <c r="N13" s="203">
        <f xml:space="preserve"> 'Wastewater Network-Plus'!N$141</f>
        <v>0</v>
      </c>
      <c r="O13" s="203">
        <f xml:space="preserve"> 'Wastewater Network-Plus'!O$141</f>
        <v>0</v>
      </c>
      <c r="P13" s="203">
        <f xml:space="preserve"> 'Wastewater Network-Plus'!P$141</f>
        <v>0</v>
      </c>
      <c r="Q13" s="203">
        <f xml:space="preserve"> 'Wastewater Network-Plus'!Q$141</f>
        <v>0</v>
      </c>
      <c r="R13" s="203">
        <f xml:space="preserve"> 'Wastewater Network-Plus'!R$141</f>
        <v>0</v>
      </c>
      <c r="S13" s="203">
        <f xml:space="preserve"> 'Wastewater Network-Plus'!S$141</f>
        <v>0</v>
      </c>
      <c r="T13" s="203">
        <f xml:space="preserve"> 'Wastewater Network-Plus'!T$141</f>
        <v>1004.9756502122648</v>
      </c>
      <c r="U13" s="203">
        <f xml:space="preserve"> 'Wastewater Network-Plus'!U$141</f>
        <v>0</v>
      </c>
      <c r="V13" s="203">
        <f xml:space="preserve"> 'Wastewater Network-Plus'!V$141</f>
        <v>0</v>
      </c>
      <c r="W13" s="203">
        <f xml:space="preserve"> 'Wastewater Network-Plus'!W$141</f>
        <v>0</v>
      </c>
    </row>
    <row r="14" spans="1:23">
      <c r="J14" s="214"/>
      <c r="K14" s="214"/>
      <c r="L14" s="214"/>
      <c r="M14" s="214"/>
      <c r="N14" s="215"/>
      <c r="O14" s="215"/>
      <c r="P14" s="215"/>
      <c r="Q14" s="215"/>
      <c r="R14" s="215"/>
      <c r="S14" s="214"/>
      <c r="T14" s="214"/>
      <c r="U14" s="214"/>
      <c r="V14" s="214"/>
      <c r="W14" s="214"/>
    </row>
    <row r="15" spans="1:23">
      <c r="E15" s="170" t="str">
        <f xml:space="preserve"> 'Wastewater TTT'!E$141</f>
        <v>Total adjustment at the end of AMP7 - WW-TTT</v>
      </c>
      <c r="F15" s="170">
        <f xml:space="preserve"> 'Wastewater TTT'!F$141</f>
        <v>0</v>
      </c>
      <c r="G15" s="170" t="str">
        <f xml:space="preserve"> 'Wastewater TTT'!G$141</f>
        <v>£m</v>
      </c>
      <c r="H15" s="170">
        <f xml:space="preserve"> 'Wastewater TTT'!H$141</f>
        <v>50.138051209612307</v>
      </c>
      <c r="I15" s="170">
        <f xml:space="preserve"> 'Wastewater TTT'!I$141</f>
        <v>0</v>
      </c>
      <c r="J15" s="203">
        <f xml:space="preserve"> 'Wastewater TTT'!J$141</f>
        <v>0</v>
      </c>
      <c r="K15" s="203">
        <f xml:space="preserve"> 'Wastewater TTT'!K$141</f>
        <v>0</v>
      </c>
      <c r="L15" s="203">
        <f xml:space="preserve"> 'Wastewater TTT'!L$141</f>
        <v>0</v>
      </c>
      <c r="M15" s="203">
        <f xml:space="preserve"> 'Wastewater TTT'!M$141</f>
        <v>0</v>
      </c>
      <c r="N15" s="203">
        <f xml:space="preserve"> 'Wastewater TTT'!N$141</f>
        <v>0</v>
      </c>
      <c r="O15" s="203">
        <f xml:space="preserve"> 'Wastewater TTT'!O$141</f>
        <v>0</v>
      </c>
      <c r="P15" s="203">
        <f xml:space="preserve"> 'Wastewater TTT'!P$141</f>
        <v>0</v>
      </c>
      <c r="Q15" s="203">
        <f xml:space="preserve"> 'Wastewater TTT'!Q$141</f>
        <v>0</v>
      </c>
      <c r="R15" s="203">
        <f xml:space="preserve"> 'Wastewater TTT'!R$141</f>
        <v>0</v>
      </c>
      <c r="S15" s="203">
        <f xml:space="preserve"> 'Wastewater TTT'!S$141</f>
        <v>0</v>
      </c>
      <c r="T15" s="203">
        <f xml:space="preserve"> 'Wastewater TTT'!T$141</f>
        <v>50.138051209612307</v>
      </c>
      <c r="U15" s="203">
        <f xml:space="preserve"> 'Wastewater TTT'!U$141</f>
        <v>0</v>
      </c>
      <c r="V15" s="203">
        <f xml:space="preserve"> 'Wastewater TTT'!V$141</f>
        <v>0</v>
      </c>
      <c r="W15" s="203">
        <f xml:space="preserve"> 'Wastewater TTT'!W$141</f>
        <v>0</v>
      </c>
    </row>
    <row r="16" spans="1:23">
      <c r="J16" s="33"/>
      <c r="K16" s="33"/>
      <c r="L16" s="33"/>
      <c r="M16" s="33"/>
      <c r="N16" s="19"/>
      <c r="O16" s="19"/>
      <c r="P16" s="19"/>
      <c r="Q16" s="19"/>
      <c r="R16" s="19"/>
      <c r="S16" s="33"/>
      <c r="T16" s="33"/>
      <c r="U16" s="33"/>
      <c r="V16" s="33"/>
      <c r="W16" s="33"/>
    </row>
    <row r="17" spans="1:6" s="118" customFormat="1">
      <c r="A17" s="118" t="s">
        <v>232</v>
      </c>
      <c r="C17" s="119"/>
      <c r="D17" s="120"/>
      <c r="E17" s="119"/>
      <c r="F17" s="121"/>
    </row>
    <row r="18" spans="1:6"/>
  </sheetData>
  <conditionalFormatting sqref="F2">
    <cfRule type="cellIs" dxfId="27" priority="3" stopIfTrue="1" operator="notEqual">
      <formula>0</formula>
    </cfRule>
    <cfRule type="cellIs" dxfId="26" priority="4" stopIfTrue="1" operator="equal">
      <formula>""</formula>
    </cfRule>
  </conditionalFormatting>
  <conditionalFormatting sqref="F3">
    <cfRule type="cellIs" dxfId="25" priority="1" stopIfTrue="1" operator="notEqual">
      <formula>0</formula>
    </cfRule>
    <cfRule type="cellIs" dxfId="24"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CFC1AD14-7C14-4149-B502-9D940C81C2AC}">
            <xm:f xml:space="preserve"> Inputs!$F$20</xm:f>
            <x14:dxf>
              <fill>
                <patternFill>
                  <bgColor indexed="44"/>
                </patternFill>
              </fill>
            </x14:dxf>
          </x14:cfRule>
          <x14:cfRule type="cellIs" priority="7" stopIfTrue="1" operator="equal" id="{E2A3B4AA-E242-4F81-8788-ADC0EAC74415}">
            <xm:f>Inputs!$F$19</xm:f>
            <x14:dxf>
              <fill>
                <patternFill>
                  <bgColor indexed="47"/>
                </patternFill>
              </fill>
            </x14:dxf>
          </x14:cfRule>
          <xm:sqref>J3:W3</xm:sqref>
        </x14:conditionalFormatting>
        <x14:conditionalFormatting xmlns:xm="http://schemas.microsoft.com/office/excel/2006/main">
          <x14:cfRule type="cellIs" priority="5" operator="equal" id="{6F9CEA9B-3576-422E-84A3-15334E67EAE4}">
            <xm:f>Inputs!$F$21</xm:f>
            <x14:dxf>
              <fill>
                <patternFill>
                  <bgColor rgb="FFD9D9D9"/>
                </patternFill>
              </fill>
            </x14:dxf>
          </x14:cfRule>
          <xm:sqref>K3:W3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CCFFFF"/>
    <outlinePr summaryBelow="0" summaryRight="0"/>
    <pageSetUpPr fitToPage="1"/>
  </sheetPr>
  <dimension ref="A1:W34"/>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Check</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F$9</f>
        <v>0</v>
      </c>
      <c r="G2" s="109" t="str">
        <f xml:space="preserve"> 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F$24</f>
        <v>3</v>
      </c>
      <c r="G3" s="109" t="str">
        <f xml:space="preserve"> G$24</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J6" s="33"/>
      <c r="K6" s="33"/>
      <c r="L6" s="33"/>
      <c r="M6" s="33"/>
      <c r="N6" s="19"/>
      <c r="O6" s="19"/>
      <c r="P6" s="19"/>
      <c r="Q6" s="19"/>
      <c r="R6" s="19"/>
      <c r="S6" s="33"/>
      <c r="T6" s="33"/>
      <c r="U6" s="33"/>
      <c r="V6" s="33"/>
      <c r="W6" s="33"/>
    </row>
    <row r="7" spans="1:23" s="6" customFormat="1">
      <c r="A7" s="115" t="s">
        <v>429</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t="s">
        <v>430</v>
      </c>
      <c r="F9" s="247">
        <f xml:space="preserve"> SUM(F11:F20)</f>
        <v>0</v>
      </c>
      <c r="G9" t="s">
        <v>431</v>
      </c>
      <c r="J9" s="33"/>
      <c r="K9" s="33"/>
      <c r="L9" s="33"/>
      <c r="M9" s="33"/>
      <c r="N9" s="19"/>
      <c r="O9" s="19"/>
      <c r="P9" s="19"/>
      <c r="Q9" s="19"/>
      <c r="R9" s="19"/>
      <c r="S9" s="33"/>
      <c r="T9" s="33"/>
      <c r="U9" s="33"/>
      <c r="V9" s="33"/>
      <c r="W9" s="33"/>
    </row>
    <row r="10" spans="1:23">
      <c r="J10" s="33"/>
      <c r="K10" s="33"/>
      <c r="L10" s="33"/>
      <c r="M10" s="33"/>
      <c r="N10" s="19"/>
      <c r="O10" s="19"/>
      <c r="P10" s="19"/>
      <c r="Q10" s="19"/>
      <c r="R10" s="19"/>
      <c r="S10" s="33"/>
      <c r="T10" s="33"/>
      <c r="U10" s="33"/>
      <c r="V10" s="33"/>
      <c r="W10" s="33"/>
    </row>
    <row r="11" spans="1:23">
      <c r="A11" s="243"/>
      <c r="B11" s="239"/>
      <c r="C11" s="244"/>
      <c r="D11" s="245"/>
      <c r="E11" s="246" t="s">
        <v>432</v>
      </c>
      <c r="F11" s="246" t="s">
        <v>433</v>
      </c>
      <c r="G11" s="246"/>
      <c r="H11" s="240"/>
      <c r="I11" s="238"/>
      <c r="J11" s="242"/>
      <c r="K11" s="242"/>
      <c r="L11" s="242"/>
      <c r="M11" s="242"/>
      <c r="N11" s="241"/>
      <c r="O11" s="241"/>
      <c r="P11" s="241"/>
      <c r="Q11" s="241"/>
      <c r="R11" s="241"/>
      <c r="S11" s="242"/>
      <c r="T11" s="242"/>
      <c r="U11" s="242"/>
      <c r="V11" s="242"/>
      <c r="W11" s="242"/>
    </row>
    <row r="12" spans="1:23">
      <c r="J12" s="33"/>
      <c r="K12" s="33"/>
      <c r="L12" s="33"/>
      <c r="M12" s="33"/>
      <c r="N12" s="19"/>
      <c r="O12" s="19"/>
      <c r="P12" s="19"/>
      <c r="Q12" s="19"/>
      <c r="R12" s="19"/>
      <c r="S12" s="33"/>
      <c r="T12" s="33"/>
      <c r="U12" s="33"/>
      <c r="V12" s="33"/>
      <c r="W12" s="33"/>
    </row>
    <row r="13" spans="1:23">
      <c r="E13" s="170" t="str">
        <f xml:space="preserve"> Inputs!E$109</f>
        <v>Blind year profiling factor - Water-N+ - Validation</v>
      </c>
      <c r="F13" s="247">
        <f xml:space="preserve"> Inputs!F$109</f>
        <v>0</v>
      </c>
      <c r="G13" s="113" t="str">
        <f xml:space="preserve"> Inputs!G$109</f>
        <v>Check</v>
      </c>
      <c r="J13" s="33"/>
      <c r="K13" s="33"/>
      <c r="L13" s="33"/>
      <c r="M13" s="33"/>
      <c r="N13" s="19"/>
      <c r="O13" s="19"/>
      <c r="P13" s="19"/>
      <c r="Q13" s="19"/>
      <c r="R13" s="19"/>
      <c r="S13" s="33"/>
      <c r="T13" s="33"/>
      <c r="U13" s="33"/>
      <c r="V13" s="33"/>
      <c r="W13" s="33"/>
    </row>
    <row r="14" spans="1:23">
      <c r="E14" s="170" t="str">
        <f xml:space="preserve"> Inputs!E$127</f>
        <v>Blind year profiling factor - WW-N+ - Validation</v>
      </c>
      <c r="F14" s="247">
        <f xml:space="preserve"> Inputs!F$127</f>
        <v>0</v>
      </c>
      <c r="G14" s="113" t="str">
        <f xml:space="preserve"> Inputs!G$127</f>
        <v>Check</v>
      </c>
      <c r="J14" s="33"/>
      <c r="K14" s="33"/>
      <c r="L14" s="33"/>
      <c r="M14" s="33"/>
      <c r="N14" s="19"/>
      <c r="O14" s="19"/>
      <c r="P14" s="19"/>
      <c r="Q14" s="19"/>
      <c r="R14" s="19"/>
      <c r="S14" s="33"/>
      <c r="T14" s="33"/>
      <c r="U14" s="33"/>
      <c r="V14" s="33"/>
      <c r="W14" s="33"/>
    </row>
    <row r="15" spans="1:23">
      <c r="E15" s="170" t="str">
        <f xml:space="preserve"> Inputs!E$145</f>
        <v>Blind year profiling factor - WW-TTT - Validation</v>
      </c>
      <c r="F15" s="247">
        <f xml:space="preserve"> Inputs!F$145</f>
        <v>0</v>
      </c>
      <c r="G15" s="113" t="str">
        <f xml:space="preserve"> Inputs!G$145</f>
        <v>Check</v>
      </c>
      <c r="J15" s="33"/>
      <c r="K15" s="33"/>
      <c r="L15" s="33"/>
      <c r="M15" s="33"/>
      <c r="N15" s="19"/>
      <c r="O15" s="19"/>
      <c r="P15" s="19"/>
      <c r="Q15" s="19"/>
      <c r="R15" s="19"/>
      <c r="S15" s="33"/>
      <c r="T15" s="33"/>
      <c r="U15" s="33"/>
      <c r="V15" s="33"/>
      <c r="W15" s="33"/>
    </row>
    <row r="16" spans="1:23">
      <c r="E16" s="170" t="str">
        <f>Time!E$119</f>
        <v>Modelling period check</v>
      </c>
      <c r="F16" s="247">
        <f>Time!F$119</f>
        <v>0</v>
      </c>
      <c r="G16" s="113" t="str">
        <f>Time!G$119</f>
        <v>check</v>
      </c>
      <c r="J16" s="33"/>
      <c r="K16" s="33"/>
      <c r="L16" s="33"/>
      <c r="M16" s="33"/>
      <c r="N16" s="19"/>
      <c r="O16" s="19"/>
      <c r="P16" s="19"/>
      <c r="Q16" s="19"/>
      <c r="R16" s="19"/>
      <c r="S16" s="33"/>
      <c r="T16" s="33"/>
      <c r="U16" s="33"/>
      <c r="V16" s="33"/>
      <c r="W16" s="33"/>
    </row>
    <row r="17" spans="1:23">
      <c r="J17" s="33"/>
      <c r="K17" s="33"/>
      <c r="L17" s="33"/>
      <c r="M17" s="33"/>
      <c r="N17" s="19"/>
      <c r="O17" s="19"/>
      <c r="P17" s="19"/>
      <c r="Q17" s="19"/>
      <c r="R17" s="19"/>
      <c r="S17" s="33"/>
      <c r="T17" s="33"/>
      <c r="U17" s="33"/>
      <c r="V17" s="33"/>
      <c r="W17" s="33"/>
    </row>
    <row r="18" spans="1:23">
      <c r="J18" s="33"/>
      <c r="K18" s="33"/>
      <c r="L18" s="33"/>
      <c r="M18" s="33"/>
      <c r="N18" s="19"/>
      <c r="O18" s="19"/>
      <c r="P18" s="19"/>
      <c r="Q18" s="19"/>
      <c r="R18" s="19"/>
      <c r="S18" s="33"/>
      <c r="T18" s="33"/>
      <c r="U18" s="33"/>
      <c r="V18" s="33"/>
      <c r="W18" s="33"/>
    </row>
    <row r="19" spans="1:23">
      <c r="J19" s="33"/>
      <c r="K19" s="33"/>
      <c r="L19" s="33"/>
      <c r="M19" s="33"/>
      <c r="N19" s="19"/>
      <c r="O19" s="19"/>
      <c r="P19" s="19"/>
      <c r="Q19" s="19"/>
      <c r="R19" s="19"/>
      <c r="S19" s="33"/>
      <c r="T19" s="33"/>
      <c r="U19" s="33"/>
      <c r="V19" s="33"/>
      <c r="W19" s="33"/>
    </row>
    <row r="20" spans="1:23">
      <c r="A20" s="243"/>
      <c r="B20" s="239"/>
      <c r="C20" s="244"/>
      <c r="D20" s="245"/>
      <c r="E20" s="246" t="s">
        <v>432</v>
      </c>
      <c r="F20" s="246" t="s">
        <v>434</v>
      </c>
      <c r="G20" s="246"/>
      <c r="H20" s="240"/>
      <c r="I20" s="238"/>
      <c r="J20" s="242"/>
      <c r="K20" s="242"/>
      <c r="L20" s="242"/>
      <c r="M20" s="242"/>
      <c r="N20" s="241"/>
      <c r="O20" s="241"/>
      <c r="P20" s="241"/>
      <c r="Q20" s="241"/>
      <c r="R20" s="241"/>
      <c r="S20" s="242"/>
      <c r="T20" s="242"/>
      <c r="U20" s="242"/>
      <c r="V20" s="242"/>
      <c r="W20" s="242"/>
    </row>
    <row r="21" spans="1:23">
      <c r="J21" s="214"/>
      <c r="K21" s="214"/>
      <c r="L21" s="214"/>
      <c r="M21" s="214"/>
      <c r="N21" s="215"/>
      <c r="O21" s="215"/>
      <c r="P21" s="215"/>
      <c r="Q21" s="215"/>
      <c r="R21" s="215"/>
      <c r="S21" s="214"/>
      <c r="T21" s="214"/>
      <c r="U21" s="214"/>
      <c r="V21" s="214"/>
      <c r="W21" s="214"/>
    </row>
    <row r="22" spans="1:23" s="6" customFormat="1">
      <c r="A22" s="115" t="s">
        <v>435</v>
      </c>
      <c r="B22" s="115"/>
      <c r="C22" s="114"/>
      <c r="D22" s="115"/>
      <c r="E22" s="115"/>
      <c r="F22" s="115"/>
      <c r="G22" s="115"/>
      <c r="H22" s="115"/>
      <c r="I22" s="115"/>
      <c r="J22" s="115"/>
      <c r="K22" s="115"/>
      <c r="L22" s="115"/>
      <c r="M22" s="115"/>
      <c r="N22" s="115"/>
      <c r="O22" s="115"/>
      <c r="P22" s="115"/>
      <c r="Q22" s="115"/>
      <c r="R22" s="115"/>
      <c r="S22" s="115"/>
      <c r="T22" s="115"/>
      <c r="U22" s="115"/>
      <c r="V22" s="115"/>
      <c r="W22" s="115"/>
    </row>
    <row r="23" spans="1:23">
      <c r="J23" s="214"/>
      <c r="K23" s="214"/>
      <c r="L23" s="214"/>
      <c r="M23" s="214"/>
      <c r="N23" s="215"/>
      <c r="O23" s="215"/>
      <c r="P23" s="215"/>
      <c r="Q23" s="215"/>
      <c r="R23" s="215"/>
      <c r="S23" s="214"/>
      <c r="T23" s="214"/>
      <c r="U23" s="214"/>
      <c r="V23" s="214"/>
      <c r="W23" s="214"/>
    </row>
    <row r="24" spans="1:23">
      <c r="E24" s="35" t="s">
        <v>436</v>
      </c>
      <c r="F24" s="158">
        <f xml:space="preserve"> SUM(F26:F32)</f>
        <v>3</v>
      </c>
      <c r="G24" s="35" t="s">
        <v>437</v>
      </c>
      <c r="H24" s="170"/>
      <c r="I24" s="170"/>
      <c r="J24" s="203"/>
      <c r="K24" s="203"/>
      <c r="L24" s="203"/>
      <c r="M24" s="203"/>
      <c r="N24" s="203"/>
      <c r="O24" s="203"/>
      <c r="P24" s="203"/>
      <c r="Q24" s="203"/>
      <c r="R24" s="203"/>
      <c r="S24" s="203"/>
      <c r="T24" s="203"/>
      <c r="U24" s="203"/>
      <c r="V24" s="203"/>
      <c r="W24" s="203"/>
    </row>
    <row r="25" spans="1:23">
      <c r="E25" s="170"/>
      <c r="F25" s="170"/>
      <c r="G25" s="170"/>
      <c r="H25" s="170"/>
      <c r="I25" s="170"/>
      <c r="J25" s="203"/>
      <c r="K25" s="203"/>
      <c r="L25" s="203"/>
      <c r="M25" s="203"/>
      <c r="N25" s="203"/>
      <c r="O25" s="203"/>
      <c r="P25" s="203"/>
      <c r="Q25" s="203"/>
      <c r="R25" s="203"/>
      <c r="S25" s="203"/>
      <c r="T25" s="203"/>
      <c r="U25" s="203"/>
      <c r="V25" s="203"/>
      <c r="W25" s="203"/>
    </row>
    <row r="26" spans="1:23">
      <c r="A26" s="243"/>
      <c r="B26" s="239"/>
      <c r="C26" s="244"/>
      <c r="D26" s="245"/>
      <c r="E26" s="246" t="s">
        <v>432</v>
      </c>
      <c r="F26" s="246" t="s">
        <v>433</v>
      </c>
      <c r="G26" s="246"/>
      <c r="H26" s="240"/>
      <c r="I26" s="238"/>
      <c r="J26" s="242"/>
      <c r="K26" s="242"/>
      <c r="L26" s="242"/>
      <c r="M26" s="242"/>
      <c r="N26" s="241"/>
      <c r="O26" s="241"/>
      <c r="P26" s="241"/>
      <c r="Q26" s="241"/>
      <c r="R26" s="241"/>
      <c r="S26" s="242"/>
      <c r="T26" s="242"/>
      <c r="U26" s="242"/>
      <c r="V26" s="242"/>
      <c r="W26" s="242"/>
    </row>
    <row r="27" spans="1:23">
      <c r="J27" s="33"/>
      <c r="K27" s="33"/>
      <c r="L27" s="33"/>
      <c r="M27" s="33"/>
      <c r="N27" s="19"/>
      <c r="O27" s="19"/>
      <c r="P27" s="19"/>
      <c r="Q27" s="19"/>
      <c r="R27" s="19"/>
      <c r="S27" s="33"/>
      <c r="T27" s="33"/>
      <c r="U27" s="33"/>
      <c r="V27" s="33"/>
      <c r="W27" s="33"/>
    </row>
    <row r="28" spans="1:23">
      <c r="E28" s="113" t="str">
        <f xml:space="preserve"> 'Wholesale Water'!E$178</f>
        <v>Performance variance level alert - Wholesale Water</v>
      </c>
      <c r="F28" s="158">
        <f xml:space="preserve"> 'Wholesale Water'!F$178</f>
        <v>1</v>
      </c>
      <c r="G28" s="113" t="str">
        <f xml:space="preserve"> 'Wholesale Water'!G$178</f>
        <v>alert</v>
      </c>
      <c r="J28" s="33"/>
      <c r="K28" s="33"/>
      <c r="L28" s="33"/>
      <c r="M28" s="33"/>
      <c r="N28" s="19"/>
      <c r="O28" s="19"/>
      <c r="P28" s="19"/>
      <c r="Q28" s="19"/>
      <c r="R28" s="19"/>
      <c r="S28" s="33"/>
      <c r="T28" s="33"/>
      <c r="U28" s="33"/>
      <c r="V28" s="33"/>
      <c r="W28" s="33"/>
    </row>
    <row r="29" spans="1:23">
      <c r="E29" s="113" t="str">
        <f xml:space="preserve"> 'Wastewater Network-Plus'!E$101</f>
        <v>Performance variance level alert - WW-N+</v>
      </c>
      <c r="F29" s="158">
        <f xml:space="preserve"> 'Wastewater Network-Plus'!F$101</f>
        <v>1</v>
      </c>
      <c r="G29" s="113" t="str">
        <f xml:space="preserve"> 'Wastewater Network-Plus'!G$101</f>
        <v>alert</v>
      </c>
      <c r="J29" s="33"/>
      <c r="K29" s="33"/>
      <c r="L29" s="33"/>
      <c r="M29" s="33"/>
      <c r="N29" s="19"/>
      <c r="O29" s="19"/>
      <c r="P29" s="19"/>
      <c r="Q29" s="19"/>
      <c r="R29" s="19"/>
      <c r="S29" s="33"/>
      <c r="T29" s="33"/>
      <c r="U29" s="33"/>
      <c r="V29" s="33"/>
      <c r="W29" s="33"/>
    </row>
    <row r="30" spans="1:23">
      <c r="E30" s="113" t="str">
        <f xml:space="preserve"> 'Wastewater TTT'!E$101</f>
        <v>Performance variance level alert - WW-TTT</v>
      </c>
      <c r="F30" s="158">
        <f xml:space="preserve"> 'Wastewater TTT'!F$101</f>
        <v>1</v>
      </c>
      <c r="G30" s="113" t="str">
        <f xml:space="preserve"> 'Wastewater TTT'!G$101</f>
        <v>alert</v>
      </c>
      <c r="J30" s="33"/>
      <c r="K30" s="33"/>
      <c r="L30" s="33"/>
      <c r="M30" s="33"/>
      <c r="N30" s="19"/>
      <c r="O30" s="19"/>
      <c r="P30" s="19"/>
      <c r="Q30" s="19"/>
      <c r="R30" s="19"/>
      <c r="S30" s="33"/>
      <c r="T30" s="33"/>
      <c r="U30" s="33"/>
      <c r="V30" s="33"/>
      <c r="W30" s="33"/>
    </row>
    <row r="31" spans="1:23">
      <c r="J31" s="33"/>
      <c r="K31" s="33"/>
      <c r="L31" s="33"/>
      <c r="M31" s="33"/>
      <c r="N31" s="19"/>
      <c r="O31" s="19"/>
      <c r="P31" s="19"/>
      <c r="Q31" s="19"/>
      <c r="R31" s="19"/>
      <c r="S31" s="33"/>
      <c r="T31" s="33"/>
      <c r="U31" s="33"/>
      <c r="V31" s="33"/>
      <c r="W31" s="33"/>
    </row>
    <row r="32" spans="1:23">
      <c r="A32" s="243"/>
      <c r="B32" s="239"/>
      <c r="C32" s="244"/>
      <c r="D32" s="245"/>
      <c r="E32" s="246" t="s">
        <v>432</v>
      </c>
      <c r="F32" s="246" t="s">
        <v>434</v>
      </c>
      <c r="G32" s="246"/>
      <c r="H32" s="240"/>
      <c r="I32" s="238"/>
      <c r="J32" s="242"/>
      <c r="K32" s="242"/>
      <c r="L32" s="242"/>
      <c r="M32" s="242"/>
      <c r="N32" s="241"/>
      <c r="O32" s="241"/>
      <c r="P32" s="241"/>
      <c r="Q32" s="241"/>
      <c r="R32" s="241"/>
      <c r="S32" s="242"/>
      <c r="T32" s="242"/>
      <c r="U32" s="242"/>
      <c r="V32" s="242"/>
      <c r="W32" s="242"/>
    </row>
    <row r="33" spans="1:23">
      <c r="J33" s="33"/>
      <c r="K33" s="33"/>
      <c r="L33" s="33"/>
      <c r="M33" s="33"/>
      <c r="N33" s="19"/>
      <c r="O33" s="19"/>
      <c r="P33" s="19"/>
      <c r="Q33" s="19"/>
      <c r="R33" s="19"/>
      <c r="S33" s="33"/>
      <c r="T33" s="33"/>
      <c r="U33" s="33"/>
      <c r="V33" s="33"/>
      <c r="W33" s="33"/>
    </row>
    <row r="34" spans="1:23" s="118" customFormat="1">
      <c r="A34" s="118" t="s">
        <v>232</v>
      </c>
      <c r="C34" s="119"/>
      <c r="D34" s="120"/>
      <c r="E34" s="119"/>
      <c r="F34" s="121"/>
    </row>
  </sheetData>
  <conditionalFormatting sqref="F16">
    <cfRule type="cellIs" dxfId="20" priority="27" stopIfTrue="1" operator="notEqual">
      <formula>0</formula>
    </cfRule>
    <cfRule type="cellIs" dxfId="19" priority="28" stopIfTrue="1" operator="equal">
      <formula>""</formula>
    </cfRule>
  </conditionalFormatting>
  <conditionalFormatting sqref="F13">
    <cfRule type="cellIs" dxfId="18" priority="23" stopIfTrue="1" operator="notEqual">
      <formula>0</formula>
    </cfRule>
    <cfRule type="cellIs" dxfId="17" priority="24" stopIfTrue="1" operator="equal">
      <formula>""</formula>
    </cfRule>
  </conditionalFormatting>
  <conditionalFormatting sqref="F14:F15">
    <cfRule type="cellIs" dxfId="16" priority="21" stopIfTrue="1" operator="notEqual">
      <formula>0</formula>
    </cfRule>
    <cfRule type="cellIs" dxfId="15" priority="22" stopIfTrue="1" operator="equal">
      <formula>""</formula>
    </cfRule>
  </conditionalFormatting>
  <conditionalFormatting sqref="F9">
    <cfRule type="cellIs" dxfId="14" priority="9" stopIfTrue="1" operator="notEqual">
      <formula>0</formula>
    </cfRule>
    <cfRule type="cellIs" dxfId="13" priority="10" stopIfTrue="1" operator="equal">
      <formula>""</formula>
    </cfRule>
  </conditionalFormatting>
  <conditionalFormatting sqref="F2">
    <cfRule type="cellIs" dxfId="12" priority="3" stopIfTrue="1" operator="notEqual">
      <formula>0</formula>
    </cfRule>
    <cfRule type="cellIs" dxfId="11" priority="4" stopIfTrue="1" operator="equal">
      <formula>""</formula>
    </cfRule>
  </conditionalFormatting>
  <conditionalFormatting sqref="F29:F30">
    <cfRule type="cellIs" dxfId="10" priority="13" stopIfTrue="1" operator="notEqual">
      <formula>0</formula>
    </cfRule>
    <cfRule type="cellIs" dxfId="9" priority="14" stopIfTrue="1" operator="equal">
      <formula>""</formula>
    </cfRule>
  </conditionalFormatting>
  <conditionalFormatting sqref="F28">
    <cfRule type="cellIs" dxfId="8" priority="11" stopIfTrue="1" operator="notEqual">
      <formula>0</formula>
    </cfRule>
    <cfRule type="cellIs" dxfId="7" priority="12" stopIfTrue="1" operator="equal">
      <formula>""</formula>
    </cfRule>
  </conditionalFormatting>
  <conditionalFormatting sqref="F24">
    <cfRule type="cellIs" dxfId="6" priority="5" stopIfTrue="1" operator="notEqual">
      <formula>0</formula>
    </cfRule>
    <cfRule type="cellIs" dxfId="5" priority="6" stopIfTrue="1" operator="equal">
      <formula>""</formula>
    </cfRule>
  </conditionalFormatting>
  <conditionalFormatting sqref="F3">
    <cfRule type="cellIs" dxfId="4" priority="1" stopIfTrue="1" operator="notEqual">
      <formula>0</formula>
    </cfRule>
    <cfRule type="cellIs" dxfId="3"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30" stopIfTrue="1" operator="equal" id="{F67BACB4-8626-4335-87F2-65E7346CF828}">
            <xm:f xml:space="preserve"> Inputs!$F$20</xm:f>
            <x14:dxf>
              <fill>
                <patternFill>
                  <bgColor indexed="44"/>
                </patternFill>
              </fill>
            </x14:dxf>
          </x14:cfRule>
          <x14:cfRule type="cellIs" priority="31" stopIfTrue="1" operator="equal" id="{18E51C71-BCA3-472E-9FC9-AD74F05B6741}">
            <xm:f>Inputs!$F$19</xm:f>
            <x14:dxf>
              <fill>
                <patternFill>
                  <bgColor indexed="47"/>
                </patternFill>
              </fill>
            </x14:dxf>
          </x14:cfRule>
          <xm:sqref>J3:W3</xm:sqref>
        </x14:conditionalFormatting>
        <x14:conditionalFormatting xmlns:xm="http://schemas.microsoft.com/office/excel/2006/main">
          <x14:cfRule type="cellIs" priority="29" operator="equal" id="{7633A5A4-F082-4436-A43B-6911C06A41FA}">
            <xm:f>Inputs!$F$21</xm:f>
            <x14:dxf>
              <fill>
                <patternFill>
                  <bgColor rgb="FFD9D9D9"/>
                </patternFill>
              </fill>
            </x14:dxf>
          </x14:cfRule>
          <xm:sqref>K3:W3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0" tint="-0.14999847407452621"/>
    <pageSetUpPr fitToPage="1"/>
  </sheetPr>
  <dimension ref="A1:XFC96"/>
  <sheetViews>
    <sheetView workbookViewId="0"/>
  </sheetViews>
  <sheetFormatPr defaultColWidth="0" defaultRowHeight="14.25" customHeight="1" zeroHeight="1"/>
  <cols>
    <col min="1" max="4" width="2.6640625" style="357" customWidth="1"/>
    <col min="5" max="5" width="35.88671875" style="357" bestFit="1" customWidth="1"/>
    <col min="6" max="6" width="8.6640625" style="357" customWidth="1"/>
    <col min="7" max="7" width="43.44140625" style="357" bestFit="1" customWidth="1"/>
    <col min="8" max="9" width="9.88671875" style="357" customWidth="1"/>
    <col min="10" max="16383" width="9.88671875" style="357" hidden="1"/>
    <col min="16384" max="16384" width="2.109375" style="357" hidden="1"/>
  </cols>
  <sheetData>
    <row r="1" spans="1:9" ht="24.6">
      <c r="A1" s="379" t="str">
        <f ca="1" xml:space="preserve"> RIGHT(CELL("filename", $A$1), LEN(CELL("filename", $A$1)) - SEARCH("]", CELL("filename", $A$1)))</f>
        <v>Model formatting</v>
      </c>
      <c r="B1" s="379"/>
      <c r="C1" s="379"/>
      <c r="D1" s="379"/>
      <c r="E1" s="379"/>
      <c r="F1" s="379"/>
      <c r="G1" s="379"/>
      <c r="H1" s="379"/>
      <c r="I1" s="379"/>
    </row>
    <row r="2" spans="1:9" ht="13.8">
      <c r="A2" s="380"/>
      <c r="B2" s="381"/>
      <c r="C2" s="382"/>
      <c r="D2" s="382"/>
    </row>
    <row r="3" spans="1:9" ht="13.8">
      <c r="A3" s="380"/>
      <c r="B3" s="381"/>
      <c r="C3" s="382"/>
      <c r="D3" s="382"/>
    </row>
    <row r="4" spans="1:9" ht="13.8">
      <c r="A4" s="401" t="s">
        <v>49</v>
      </c>
      <c r="B4" s="401"/>
      <c r="C4" s="402"/>
      <c r="D4" s="403"/>
      <c r="E4" s="401"/>
      <c r="F4" s="401"/>
      <c r="G4" s="401"/>
      <c r="H4" s="401"/>
      <c r="I4" s="401"/>
    </row>
    <row r="5" spans="1:9" ht="13.8">
      <c r="A5" s="404"/>
      <c r="B5" s="404"/>
      <c r="C5" s="405"/>
      <c r="D5" s="385"/>
      <c r="E5" s="384"/>
      <c r="F5" s="384"/>
      <c r="G5" s="384"/>
      <c r="H5" s="384"/>
      <c r="I5" s="384"/>
    </row>
    <row r="6" spans="1:9" ht="13.8">
      <c r="A6" s="404"/>
      <c r="B6" s="404"/>
      <c r="C6" s="405"/>
      <c r="D6" s="385"/>
      <c r="E6" s="406" t="s">
        <v>50</v>
      </c>
      <c r="F6" s="384"/>
      <c r="G6" s="384" t="s">
        <v>51</v>
      </c>
      <c r="H6" s="384"/>
      <c r="I6" s="384"/>
    </row>
    <row r="7" spans="1:9" ht="13.8">
      <c r="A7" s="404"/>
      <c r="B7" s="404"/>
      <c r="C7" s="405"/>
      <c r="D7" s="385"/>
      <c r="E7" s="407"/>
      <c r="F7" s="384"/>
      <c r="G7" s="384"/>
      <c r="H7" s="384"/>
      <c r="I7" s="384"/>
    </row>
    <row r="8" spans="1:9" ht="13.8">
      <c r="A8" s="404"/>
      <c r="B8" s="404"/>
      <c r="C8" s="405"/>
      <c r="D8" s="385"/>
      <c r="E8" s="408" t="s">
        <v>52</v>
      </c>
      <c r="F8" s="384"/>
      <c r="G8" s="384" t="s">
        <v>53</v>
      </c>
      <c r="H8" s="384"/>
      <c r="I8" s="384"/>
    </row>
    <row r="9" spans="1:9" ht="13.8">
      <c r="A9" s="404"/>
      <c r="B9" s="404"/>
      <c r="C9" s="405"/>
      <c r="D9" s="385"/>
      <c r="E9" s="407"/>
      <c r="F9" s="384"/>
      <c r="G9" s="384"/>
      <c r="H9" s="384"/>
      <c r="I9" s="384"/>
    </row>
    <row r="10" spans="1:9" ht="13.8">
      <c r="A10" s="404"/>
      <c r="B10" s="404"/>
      <c r="C10" s="405"/>
      <c r="D10" s="385"/>
      <c r="E10" s="409" t="s">
        <v>54</v>
      </c>
      <c r="F10" s="384"/>
      <c r="G10" s="384" t="s">
        <v>55</v>
      </c>
      <c r="H10" s="384"/>
      <c r="I10" s="384"/>
    </row>
    <row r="11" spans="1:9" ht="13.8">
      <c r="A11" s="404"/>
      <c r="B11" s="404"/>
      <c r="C11" s="405"/>
      <c r="D11" s="385"/>
      <c r="E11" s="407"/>
      <c r="F11" s="384"/>
      <c r="G11" s="384"/>
      <c r="H11" s="384"/>
      <c r="I11" s="384"/>
    </row>
    <row r="12" spans="1:9" ht="13.8">
      <c r="A12" s="404"/>
      <c r="B12" s="404"/>
      <c r="C12" s="405"/>
      <c r="D12" s="385"/>
      <c r="E12" s="410" t="s">
        <v>56</v>
      </c>
      <c r="F12" s="384"/>
      <c r="G12" s="384" t="s">
        <v>57</v>
      </c>
      <c r="H12" s="384"/>
      <c r="I12" s="384"/>
    </row>
    <row r="13" spans="1:9" ht="13.8">
      <c r="A13" s="404"/>
      <c r="B13" s="404"/>
      <c r="C13" s="405"/>
      <c r="D13" s="385"/>
      <c r="E13" s="407"/>
      <c r="F13" s="384"/>
      <c r="G13" s="384"/>
      <c r="H13" s="384"/>
      <c r="I13" s="384"/>
    </row>
    <row r="14" spans="1:9" ht="13.8">
      <c r="A14" s="404"/>
      <c r="B14" s="404"/>
      <c r="C14" s="405"/>
      <c r="D14" s="385"/>
      <c r="E14" s="411" t="s">
        <v>58</v>
      </c>
      <c r="F14" s="384"/>
      <c r="G14" s="384" t="s">
        <v>59</v>
      </c>
      <c r="H14" s="384"/>
      <c r="I14" s="384"/>
    </row>
    <row r="15" spans="1:9" ht="13.8">
      <c r="A15" s="404"/>
      <c r="B15" s="404"/>
      <c r="C15" s="405"/>
      <c r="D15" s="385"/>
      <c r="E15" s="384"/>
      <c r="F15" s="384"/>
      <c r="G15" s="384"/>
      <c r="H15" s="384"/>
      <c r="I15" s="384"/>
    </row>
    <row r="16" spans="1:9" ht="13.8">
      <c r="A16" s="404"/>
      <c r="B16" s="404"/>
      <c r="C16" s="405"/>
      <c r="D16" s="385"/>
      <c r="E16" s="412" t="s">
        <v>60</v>
      </c>
      <c r="F16" s="384"/>
      <c r="G16" s="384" t="s">
        <v>61</v>
      </c>
      <c r="H16" s="384"/>
      <c r="I16" s="384"/>
    </row>
    <row r="17" spans="1:9" ht="13.8">
      <c r="A17" s="404"/>
      <c r="B17" s="404"/>
      <c r="C17" s="405"/>
      <c r="D17" s="385"/>
      <c r="E17" s="384"/>
      <c r="F17" s="384"/>
      <c r="G17" s="384"/>
      <c r="H17" s="384"/>
      <c r="I17" s="384"/>
    </row>
    <row r="18" spans="1:9" ht="13.8">
      <c r="A18" s="401" t="s">
        <v>62</v>
      </c>
      <c r="B18" s="401"/>
      <c r="C18" s="402"/>
      <c r="D18" s="403"/>
      <c r="E18" s="401"/>
      <c r="F18" s="401"/>
      <c r="G18" s="401"/>
      <c r="H18" s="401"/>
      <c r="I18" s="401"/>
    </row>
    <row r="19" spans="1:9" ht="13.8">
      <c r="A19" s="404"/>
      <c r="B19" s="404"/>
      <c r="C19" s="405"/>
      <c r="D19" s="385"/>
      <c r="E19" s="384"/>
      <c r="F19" s="384"/>
      <c r="G19" s="384"/>
      <c r="H19" s="384"/>
      <c r="I19" s="384"/>
    </row>
    <row r="20" spans="1:9" ht="13.8">
      <c r="A20" s="404"/>
      <c r="B20" s="404" t="s">
        <v>63</v>
      </c>
      <c r="C20" s="405"/>
      <c r="D20" s="385"/>
      <c r="E20" s="384"/>
      <c r="F20" s="384"/>
      <c r="G20" s="384"/>
      <c r="H20" s="384"/>
      <c r="I20" s="384"/>
    </row>
    <row r="21" spans="1:9" ht="13.8">
      <c r="A21" s="404"/>
      <c r="B21" s="404"/>
      <c r="C21" s="405"/>
      <c r="D21" s="385"/>
      <c r="E21" s="413" t="s">
        <v>64</v>
      </c>
      <c r="F21" s="384"/>
      <c r="G21" s="384" t="s">
        <v>65</v>
      </c>
      <c r="H21" s="384"/>
      <c r="I21" s="384"/>
    </row>
    <row r="22" spans="1:9" ht="13.8">
      <c r="A22" s="404"/>
      <c r="B22" s="404"/>
      <c r="C22" s="405"/>
      <c r="D22" s="385"/>
      <c r="E22" s="384"/>
      <c r="F22" s="384"/>
      <c r="G22" s="384"/>
      <c r="H22" s="384"/>
      <c r="I22" s="384"/>
    </row>
    <row r="23" spans="1:9" ht="13.8">
      <c r="A23" s="404"/>
      <c r="B23" s="404"/>
      <c r="C23" s="405"/>
      <c r="D23" s="385"/>
      <c r="E23" s="414" t="s">
        <v>66</v>
      </c>
      <c r="F23" s="384"/>
      <c r="G23" s="384" t="s">
        <v>67</v>
      </c>
      <c r="H23" s="384"/>
      <c r="I23" s="384"/>
    </row>
    <row r="24" spans="1:9" ht="13.8">
      <c r="A24" s="404"/>
      <c r="B24" s="404"/>
      <c r="C24" s="405"/>
      <c r="D24" s="385"/>
      <c r="E24" s="384"/>
      <c r="F24" s="384"/>
      <c r="G24" s="384"/>
      <c r="H24" s="384"/>
      <c r="I24" s="384"/>
    </row>
    <row r="25" spans="1:9" ht="13.8">
      <c r="A25" s="404"/>
      <c r="B25" s="404"/>
      <c r="C25" s="405"/>
      <c r="D25" s="385"/>
      <c r="E25" s="384" t="s">
        <v>68</v>
      </c>
      <c r="F25" s="384"/>
      <c r="G25" s="384" t="s">
        <v>69</v>
      </c>
      <c r="H25" s="384"/>
      <c r="I25" s="384"/>
    </row>
    <row r="26" spans="1:9" ht="13.8">
      <c r="A26" s="404"/>
      <c r="B26" s="404"/>
      <c r="C26" s="405"/>
      <c r="D26" s="385"/>
      <c r="E26" s="384"/>
      <c r="F26" s="384"/>
      <c r="G26" s="384"/>
      <c r="H26" s="384"/>
      <c r="I26" s="384"/>
    </row>
    <row r="27" spans="1:9" ht="13.8">
      <c r="A27" s="404"/>
      <c r="B27" s="404" t="s">
        <v>70</v>
      </c>
      <c r="C27" s="405"/>
      <c r="D27" s="385"/>
      <c r="E27" s="384"/>
      <c r="F27" s="384"/>
      <c r="G27" s="384"/>
      <c r="H27" s="384"/>
      <c r="I27" s="384"/>
    </row>
    <row r="28" spans="1:9" ht="13.8">
      <c r="A28" s="404"/>
      <c r="B28" s="404"/>
      <c r="C28" s="405"/>
      <c r="D28" s="385"/>
      <c r="E28" s="415" t="s">
        <v>71</v>
      </c>
      <c r="F28" s="384"/>
      <c r="G28" s="384" t="s">
        <v>35</v>
      </c>
      <c r="H28" s="384"/>
      <c r="I28" s="384"/>
    </row>
    <row r="29" spans="1:9" ht="13.8">
      <c r="A29" s="404"/>
      <c r="B29" s="404"/>
      <c r="C29" s="405"/>
      <c r="D29" s="385"/>
      <c r="E29" s="384"/>
      <c r="F29" s="384"/>
      <c r="G29" s="384"/>
      <c r="H29" s="384"/>
      <c r="I29" s="384"/>
    </row>
    <row r="30" spans="1:9" ht="13.8">
      <c r="A30" s="404"/>
      <c r="B30" s="404"/>
      <c r="C30" s="405"/>
      <c r="D30" s="385"/>
      <c r="E30" s="383" t="s">
        <v>72</v>
      </c>
      <c r="F30" s="384"/>
      <c r="G30" s="384" t="s">
        <v>73</v>
      </c>
      <c r="H30" s="384"/>
      <c r="I30" s="384"/>
    </row>
    <row r="31" spans="1:9" ht="13.8">
      <c r="A31" s="404"/>
      <c r="B31" s="404"/>
      <c r="C31" s="405"/>
      <c r="D31" s="385"/>
      <c r="E31" s="384"/>
      <c r="F31" s="384"/>
      <c r="G31" s="384"/>
      <c r="H31" s="384"/>
      <c r="I31" s="384"/>
    </row>
    <row r="32" spans="1:9" ht="13.8">
      <c r="A32" s="404"/>
      <c r="B32" s="404"/>
      <c r="C32" s="405"/>
      <c r="D32" s="385"/>
      <c r="E32" s="416" t="s">
        <v>74</v>
      </c>
      <c r="F32" s="384"/>
      <c r="G32" s="384" t="s">
        <v>75</v>
      </c>
      <c r="H32" s="384"/>
      <c r="I32" s="384"/>
    </row>
    <row r="33" spans="1:9" ht="13.8">
      <c r="A33" s="404"/>
      <c r="B33" s="404"/>
      <c r="C33" s="405"/>
      <c r="D33" s="385"/>
      <c r="E33" s="384"/>
      <c r="F33" s="384"/>
      <c r="G33" s="384"/>
      <c r="H33" s="384"/>
      <c r="I33" s="384"/>
    </row>
    <row r="34" spans="1:9" ht="13.8">
      <c r="A34" s="404"/>
      <c r="B34" s="404"/>
      <c r="C34" s="405"/>
      <c r="D34" s="385"/>
      <c r="E34" s="383" t="s">
        <v>76</v>
      </c>
      <c r="F34" s="384"/>
      <c r="G34" s="384" t="s">
        <v>77</v>
      </c>
      <c r="H34" s="384"/>
      <c r="I34" s="384"/>
    </row>
    <row r="35" spans="1:9" ht="13.8">
      <c r="A35" s="404"/>
      <c r="B35" s="404"/>
      <c r="C35" s="405"/>
      <c r="D35" s="385"/>
      <c r="E35" s="384"/>
      <c r="F35" s="384"/>
      <c r="G35" s="384"/>
      <c r="H35" s="384"/>
      <c r="I35" s="384"/>
    </row>
    <row r="36" spans="1:9" ht="13.8">
      <c r="A36" s="404"/>
      <c r="B36" s="404" t="s">
        <v>78</v>
      </c>
      <c r="C36" s="405"/>
      <c r="D36" s="385"/>
      <c r="E36" s="384"/>
      <c r="F36" s="384"/>
      <c r="G36" s="384"/>
      <c r="H36" s="384"/>
      <c r="I36" s="384"/>
    </row>
    <row r="37" spans="1:9" ht="13.8">
      <c r="A37" s="404"/>
      <c r="B37" s="404"/>
      <c r="C37" s="405"/>
      <c r="D37" s="385"/>
      <c r="E37" s="417" t="s">
        <v>79</v>
      </c>
      <c r="F37" s="384"/>
      <c r="G37" s="384" t="s">
        <v>80</v>
      </c>
      <c r="H37" s="384"/>
      <c r="I37" s="384"/>
    </row>
    <row r="38" spans="1:9" ht="13.8">
      <c r="A38" s="404"/>
      <c r="B38" s="404"/>
      <c r="C38" s="405"/>
      <c r="D38" s="385"/>
      <c r="E38" s="384"/>
      <c r="F38" s="384"/>
      <c r="G38" s="384"/>
      <c r="H38" s="384"/>
      <c r="I38" s="384"/>
    </row>
    <row r="39" spans="1:9" ht="13.8">
      <c r="A39" s="404"/>
      <c r="B39" s="404"/>
      <c r="C39" s="405"/>
      <c r="D39" s="385"/>
      <c r="E39" s="418" t="s">
        <v>81</v>
      </c>
      <c r="F39" s="384"/>
      <c r="G39" s="384" t="s">
        <v>82</v>
      </c>
      <c r="H39" s="384"/>
      <c r="I39" s="384"/>
    </row>
    <row r="40" spans="1:9" ht="13.8">
      <c r="A40" s="404"/>
      <c r="B40" s="404"/>
      <c r="C40" s="405"/>
      <c r="D40" s="385"/>
      <c r="E40" s="384"/>
      <c r="F40" s="384"/>
      <c r="G40" s="384"/>
      <c r="H40" s="384"/>
      <c r="I40" s="384"/>
    </row>
    <row r="41" spans="1:9" ht="13.8">
      <c r="A41" s="404"/>
      <c r="B41" s="404"/>
      <c r="C41" s="405"/>
      <c r="D41" s="385"/>
      <c r="E41" s="419" t="s">
        <v>83</v>
      </c>
      <c r="F41" s="384"/>
      <c r="G41" s="384" t="s">
        <v>84</v>
      </c>
      <c r="H41" s="384"/>
      <c r="I41" s="384"/>
    </row>
    <row r="42" spans="1:9" ht="13.8">
      <c r="A42" s="404"/>
      <c r="B42" s="404"/>
      <c r="C42" s="405"/>
      <c r="D42" s="385"/>
      <c r="E42" s="384"/>
      <c r="F42" s="384"/>
      <c r="G42" s="384"/>
      <c r="H42" s="384"/>
      <c r="I42" s="384"/>
    </row>
    <row r="43" spans="1:9" ht="13.8">
      <c r="A43" s="404"/>
      <c r="B43" s="404"/>
      <c r="C43" s="405"/>
      <c r="D43" s="385"/>
      <c r="E43" s="420" t="s">
        <v>85</v>
      </c>
      <c r="F43" s="384"/>
      <c r="G43" s="384" t="s">
        <v>86</v>
      </c>
      <c r="H43" s="384"/>
      <c r="I43" s="384"/>
    </row>
    <row r="44" spans="1:9" ht="13.8">
      <c r="A44" s="404"/>
      <c r="B44" s="404"/>
      <c r="C44" s="405"/>
      <c r="D44" s="385"/>
      <c r="E44" s="384"/>
      <c r="F44" s="384"/>
      <c r="G44" s="384"/>
      <c r="H44" s="384"/>
      <c r="I44" s="384"/>
    </row>
    <row r="45" spans="1:9" ht="13.8">
      <c r="A45" s="404"/>
      <c r="B45" s="404"/>
      <c r="C45" s="405"/>
      <c r="D45" s="385"/>
      <c r="E45" s="421" t="s">
        <v>87</v>
      </c>
      <c r="F45" s="384"/>
      <c r="G45" s="384" t="s">
        <v>88</v>
      </c>
      <c r="H45" s="384"/>
      <c r="I45" s="384"/>
    </row>
    <row r="46" spans="1:9" ht="13.8">
      <c r="A46" s="404"/>
      <c r="B46" s="404"/>
      <c r="C46" s="405"/>
      <c r="D46" s="385"/>
      <c r="E46" s="384"/>
      <c r="F46" s="384"/>
      <c r="G46" s="384"/>
      <c r="H46" s="384"/>
      <c r="I46" s="384"/>
    </row>
    <row r="47" spans="1:9" ht="13.8">
      <c r="A47" s="404"/>
      <c r="B47" s="404" t="s">
        <v>89</v>
      </c>
      <c r="C47" s="405"/>
      <c r="D47" s="385"/>
      <c r="E47" s="384"/>
      <c r="F47" s="384"/>
      <c r="G47" s="384"/>
      <c r="H47" s="384"/>
      <c r="I47" s="384"/>
    </row>
    <row r="48" spans="1:9" ht="13.8">
      <c r="A48" s="404"/>
      <c r="B48" s="404"/>
      <c r="C48" s="405"/>
      <c r="D48" s="385"/>
      <c r="E48" s="422" t="s">
        <v>90</v>
      </c>
      <c r="F48" s="384"/>
      <c r="G48" s="384" t="s">
        <v>91</v>
      </c>
      <c r="H48" s="384"/>
      <c r="I48" s="384"/>
    </row>
    <row r="49" spans="1:29" ht="13.8">
      <c r="A49" s="404"/>
      <c r="B49" s="404"/>
      <c r="C49" s="405"/>
      <c r="D49" s="385"/>
      <c r="E49" s="384"/>
      <c r="F49" s="384"/>
      <c r="G49" s="384"/>
      <c r="H49" s="384"/>
      <c r="I49" s="384"/>
    </row>
    <row r="50" spans="1:29" ht="13.8">
      <c r="A50" s="404"/>
      <c r="B50" s="404"/>
      <c r="C50" s="405"/>
      <c r="D50" s="385"/>
      <c r="E50" s="423" t="s">
        <v>92</v>
      </c>
      <c r="F50" s="384"/>
      <c r="G50" s="384" t="s">
        <v>93</v>
      </c>
      <c r="H50" s="384"/>
      <c r="I50" s="384"/>
    </row>
    <row r="51" spans="1:29" ht="13.8">
      <c r="A51" s="404"/>
      <c r="B51" s="404"/>
      <c r="C51" s="405"/>
      <c r="D51" s="385"/>
      <c r="E51" s="384"/>
      <c r="F51" s="384"/>
      <c r="G51" s="384"/>
      <c r="H51" s="384"/>
      <c r="I51" s="384"/>
    </row>
    <row r="52" spans="1:29" ht="13.8">
      <c r="A52" s="404"/>
      <c r="B52" s="404"/>
      <c r="C52" s="405"/>
      <c r="D52" s="385"/>
      <c r="E52" s="424" t="s">
        <v>94</v>
      </c>
      <c r="F52" s="384"/>
      <c r="G52" s="384" t="s">
        <v>95</v>
      </c>
      <c r="H52" s="384"/>
      <c r="I52" s="384"/>
    </row>
    <row r="53" spans="1:29" ht="13.8">
      <c r="A53" s="404"/>
      <c r="B53" s="404"/>
      <c r="C53" s="405"/>
      <c r="D53" s="385"/>
      <c r="E53" s="384"/>
      <c r="F53" s="384"/>
      <c r="G53" s="384"/>
      <c r="H53" s="384"/>
      <c r="I53" s="384"/>
    </row>
    <row r="54" spans="1:29" s="57" customFormat="1" ht="12.75" customHeight="1">
      <c r="A54" s="115" t="s">
        <v>96</v>
      </c>
      <c r="B54" s="115"/>
      <c r="C54" s="114"/>
      <c r="D54" s="108"/>
      <c r="E54" s="115"/>
      <c r="F54" s="115"/>
      <c r="G54" s="115"/>
      <c r="H54" s="115"/>
      <c r="I54" s="115"/>
      <c r="J54" s="115"/>
      <c r="K54" s="115"/>
      <c r="L54" s="115"/>
      <c r="M54" s="115"/>
      <c r="N54" s="115"/>
      <c r="O54" s="115"/>
      <c r="P54" s="115"/>
      <c r="Q54" s="115"/>
      <c r="R54" s="115"/>
      <c r="S54" s="115"/>
      <c r="T54" s="115"/>
      <c r="U54" s="115"/>
      <c r="V54" s="114"/>
      <c r="W54" s="114"/>
      <c r="X54" s="114"/>
      <c r="Y54" s="114"/>
      <c r="Z54" s="114"/>
      <c r="AA54" s="114"/>
      <c r="AB54" s="114"/>
      <c r="AC54" s="114"/>
    </row>
    <row r="55" spans="1:29" s="57" customFormat="1" ht="13.2">
      <c r="A55" s="63"/>
      <c r="B55" s="64"/>
      <c r="C55" s="62"/>
      <c r="D55" s="61"/>
    </row>
    <row r="56" spans="1:29" s="57" customFormat="1" ht="13.2">
      <c r="A56" s="63"/>
      <c r="B56" s="64"/>
      <c r="C56" s="62"/>
      <c r="D56" s="61"/>
      <c r="E56" s="57" t="s">
        <v>97</v>
      </c>
      <c r="F56" s="57" t="s">
        <v>98</v>
      </c>
    </row>
    <row r="57" spans="1:29" s="57" customFormat="1" ht="13.2">
      <c r="A57" s="63"/>
      <c r="B57" s="64"/>
      <c r="C57" s="62"/>
      <c r="D57" s="61"/>
      <c r="E57" s="57" t="s">
        <v>99</v>
      </c>
      <c r="F57" s="57" t="s">
        <v>100</v>
      </c>
    </row>
    <row r="58" spans="1:29" s="57" customFormat="1" ht="13.2">
      <c r="A58" s="63"/>
      <c r="B58" s="64"/>
      <c r="C58" s="62"/>
      <c r="D58" s="61"/>
      <c r="E58" s="57" t="s">
        <v>101</v>
      </c>
      <c r="F58" s="57" t="s">
        <v>102</v>
      </c>
    </row>
    <row r="59" spans="1:29" s="57" customFormat="1" ht="13.2">
      <c r="A59" s="63"/>
      <c r="B59" s="64"/>
      <c r="C59" s="62"/>
      <c r="D59" s="61"/>
      <c r="E59" s="57" t="s">
        <v>103</v>
      </c>
      <c r="F59" s="101" t="s">
        <v>104</v>
      </c>
    </row>
    <row r="60" spans="1:29" s="57" customFormat="1" ht="13.2">
      <c r="A60" s="63"/>
      <c r="B60" s="64"/>
      <c r="C60" s="62"/>
      <c r="D60" s="61"/>
      <c r="E60" s="57" t="s">
        <v>105</v>
      </c>
      <c r="F60" s="101" t="s">
        <v>106</v>
      </c>
    </row>
    <row r="61" spans="1:29" s="57" customFormat="1" ht="13.2">
      <c r="A61" s="63"/>
      <c r="B61" s="64"/>
      <c r="C61" s="62"/>
      <c r="D61" s="61"/>
      <c r="E61" s="57" t="s">
        <v>107</v>
      </c>
      <c r="F61" s="101" t="s">
        <v>108</v>
      </c>
    </row>
    <row r="62" spans="1:29" s="57" customFormat="1" ht="13.2">
      <c r="A62" s="63"/>
      <c r="B62" s="64"/>
      <c r="C62" s="62"/>
      <c r="D62" s="61"/>
      <c r="E62" s="57" t="s">
        <v>109</v>
      </c>
      <c r="F62" s="101" t="s">
        <v>110</v>
      </c>
    </row>
    <row r="63" spans="1:29" s="57" customFormat="1" ht="13.2">
      <c r="A63" s="63"/>
      <c r="B63" s="64"/>
      <c r="C63" s="62"/>
      <c r="D63" s="61"/>
      <c r="E63" s="57" t="s">
        <v>111</v>
      </c>
      <c r="F63" s="101" t="s">
        <v>112</v>
      </c>
    </row>
    <row r="64" spans="1:29" s="57" customFormat="1" ht="13.2">
      <c r="A64" s="63"/>
      <c r="B64" s="64"/>
      <c r="C64" s="62"/>
      <c r="D64" s="61"/>
      <c r="E64" s="57" t="s">
        <v>113</v>
      </c>
      <c r="F64" s="57" t="s">
        <v>114</v>
      </c>
    </row>
    <row r="65" spans="1:9" s="57" customFormat="1" ht="13.2">
      <c r="A65" s="63"/>
      <c r="B65" s="64"/>
      <c r="C65" s="62"/>
      <c r="D65" s="61"/>
      <c r="E65" s="57" t="s">
        <v>115</v>
      </c>
      <c r="F65" s="57" t="s">
        <v>116</v>
      </c>
    </row>
    <row r="66" spans="1:9" s="57" customFormat="1" ht="13.2">
      <c r="A66" s="63"/>
      <c r="B66" s="64"/>
      <c r="C66" s="62"/>
      <c r="D66" s="61"/>
    </row>
    <row r="67" spans="1:9" ht="13.8">
      <c r="A67" s="374" t="s">
        <v>48</v>
      </c>
      <c r="B67" s="374"/>
      <c r="C67" s="374"/>
      <c r="D67" s="375"/>
      <c r="E67" s="376"/>
      <c r="F67" s="376"/>
      <c r="G67" s="376"/>
      <c r="H67" s="376"/>
      <c r="I67" s="376"/>
    </row>
    <row r="68" spans="1:9" ht="13.8">
      <c r="A68" s="380"/>
      <c r="B68" s="381"/>
      <c r="C68" s="382"/>
      <c r="D68" s="382"/>
    </row>
    <row r="69" spans="1:9" ht="13.8" hidden="1"/>
    <row r="70" spans="1:9" ht="13.8" hidden="1"/>
    <row r="71" spans="1:9" ht="13.8" hidden="1"/>
    <row r="72" spans="1:9" ht="13.8" hidden="1"/>
    <row r="73" spans="1:9" ht="13.8" hidden="1"/>
    <row r="74" spans="1:9" ht="13.8" hidden="1"/>
    <row r="75" spans="1:9" ht="13.8" hidden="1"/>
    <row r="76" spans="1:9" ht="13.8" hidden="1"/>
    <row r="77" spans="1:9" ht="13.8" hidden="1"/>
    <row r="78" spans="1:9" ht="13.8" hidden="1"/>
    <row r="79" spans="1:9" ht="13.8" hidden="1"/>
    <row r="80" spans="1:9" ht="13.8" hidden="1"/>
    <row r="81" ht="13.8" hidden="1"/>
    <row r="82" ht="13.8" hidden="1"/>
    <row r="83" ht="13.8" hidden="1"/>
    <row r="84" ht="13.8" hidden="1"/>
    <row r="85" ht="13.8" hidden="1"/>
    <row r="86" ht="13.8" hidden="1"/>
    <row r="87" ht="13.8" hidden="1"/>
    <row r="88" ht="13.8" hidden="1"/>
    <row r="89" ht="13.8" hidden="1"/>
    <row r="90" ht="13.8" hidden="1"/>
    <row r="91" ht="13.8" hidden="1"/>
    <row r="92" ht="13.8" hidden="1"/>
    <row r="93" ht="13.8" hidden="1"/>
    <row r="94" ht="13.8" hidden="1"/>
    <row r="95" ht="13.8" hidden="1"/>
    <row r="96" ht="13.8" hidden="1"/>
  </sheetData>
  <pageMargins left="0.7" right="0.7" top="0.75" bottom="0.75" header="0.3" footer="0.3"/>
  <pageSetup paperSize="9" scale="75" orientation="portrait" r:id="rId1"/>
  <headerFooter>
    <oddHeader>&amp;LPage &amp;P of &amp;N&amp;CSheet: &amp;A&amp;ROFFICIAL SENSITIVE</oddHeader>
    <oddFooter>&amp;L&amp;F printed on &amp;D at &amp;T&amp;ROFWAT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0" tint="-0.14999847407452621"/>
    <pageSetUpPr fitToPage="1"/>
  </sheetPr>
  <dimension ref="A1:Y159"/>
  <sheetViews>
    <sheetView showGridLines="0" workbookViewId="0"/>
  </sheetViews>
  <sheetFormatPr defaultColWidth="0" defaultRowHeight="12.6" customHeight="1" zeroHeight="1"/>
  <cols>
    <col min="1" max="2" width="2.5546875" style="428" customWidth="1"/>
    <col min="3" max="3" width="24.109375" style="428" customWidth="1"/>
    <col min="4" max="6" width="2.5546875" style="428" customWidth="1"/>
    <col min="7" max="7" width="20.88671875" style="428" customWidth="1"/>
    <col min="8" max="8" width="2.5546875" style="428" customWidth="1"/>
    <col min="9" max="9" width="6.44140625" style="428" customWidth="1"/>
    <col min="10" max="10" width="2.5546875" style="428" customWidth="1"/>
    <col min="11" max="11" width="34.33203125" style="428" customWidth="1"/>
    <col min="12" max="12" width="2.5546875" style="428" customWidth="1"/>
    <col min="13" max="13" width="6.44140625" style="428" customWidth="1"/>
    <col min="14" max="14" width="2.5546875" style="428" customWidth="1"/>
    <col min="15" max="15" width="20.33203125" style="428" customWidth="1"/>
    <col min="16" max="16" width="2.88671875" style="428" customWidth="1"/>
    <col min="17" max="18" width="2.5546875" style="428" customWidth="1"/>
    <col min="19" max="19" width="20.33203125" style="428" customWidth="1"/>
    <col min="20" max="22" width="2.5546875" style="428" customWidth="1"/>
    <col min="23" max="23" width="20.33203125" style="428" customWidth="1"/>
    <col min="24" max="25" width="2.5546875" style="428" customWidth="1"/>
    <col min="26" max="16384" width="8.6640625" style="428" hidden="1"/>
  </cols>
  <sheetData>
    <row r="1" spans="1:25" s="427" customFormat="1" ht="24.6">
      <c r="A1" s="425" t="str">
        <f ca="1" xml:space="preserve"> RIGHT(CELL("filename", $A$1), LEN(CELL("filename", $A$1)) - SEARCH("]", CELL("filename", $A$1)))</f>
        <v>ToC</v>
      </c>
      <c r="B1" s="425"/>
      <c r="C1" s="426"/>
      <c r="D1" s="426"/>
      <c r="E1" s="426"/>
      <c r="F1" s="426"/>
      <c r="G1" s="426"/>
      <c r="H1" s="426"/>
      <c r="I1" s="426"/>
      <c r="J1" s="426"/>
      <c r="K1" s="426"/>
      <c r="L1" s="426"/>
      <c r="M1" s="426"/>
      <c r="N1" s="426"/>
      <c r="O1" s="426"/>
      <c r="P1" s="426"/>
      <c r="Q1" s="426"/>
      <c r="R1" s="426"/>
      <c r="S1" s="426"/>
      <c r="T1" s="426"/>
      <c r="U1" s="426"/>
      <c r="V1" s="426"/>
      <c r="W1" s="426"/>
      <c r="X1" s="426"/>
      <c r="Y1" s="426"/>
    </row>
    <row r="2" spans="1:25" ht="13.2"/>
    <row r="3" spans="1:25" s="429" customFormat="1" ht="13.2">
      <c r="C3" s="429" t="s">
        <v>117</v>
      </c>
      <c r="G3" s="429" t="s">
        <v>118</v>
      </c>
      <c r="K3" s="429" t="s">
        <v>119</v>
      </c>
      <c r="O3" s="429" t="s">
        <v>120</v>
      </c>
      <c r="S3" s="429" t="s">
        <v>121</v>
      </c>
    </row>
    <row r="4" spans="1:25" ht="13.2"/>
    <row r="5" spans="1:25" ht="13.2">
      <c r="S5" s="430" t="s">
        <v>122</v>
      </c>
      <c r="W5" s="430" t="s">
        <v>123</v>
      </c>
    </row>
    <row r="6" spans="1:25" ht="13.2">
      <c r="S6" s="430"/>
      <c r="W6" s="430"/>
    </row>
    <row r="7" spans="1:25" ht="13.2">
      <c r="B7" s="431"/>
      <c r="C7" s="432"/>
      <c r="D7" s="433"/>
      <c r="F7" s="431"/>
      <c r="G7" s="432"/>
      <c r="H7" s="433"/>
      <c r="J7" s="431"/>
      <c r="K7" s="432"/>
      <c r="L7" s="433"/>
      <c r="N7" s="431"/>
      <c r="O7" s="432"/>
      <c r="P7" s="433"/>
      <c r="R7" s="454"/>
      <c r="S7" s="435"/>
      <c r="T7" s="455"/>
      <c r="V7" s="434"/>
      <c r="W7" s="435"/>
      <c r="X7" s="436"/>
    </row>
    <row r="8" spans="1:25" ht="13.2">
      <c r="B8" s="437"/>
      <c r="C8" s="438" t="str">
        <f ca="1" xml:space="preserve"> Cover!A$1</f>
        <v>Cover</v>
      </c>
      <c r="D8" s="439"/>
      <c r="F8" s="437"/>
      <c r="G8" s="440" t="str">
        <f ca="1" xml:space="preserve"> Inputs!A1</f>
        <v>Inputs</v>
      </c>
      <c r="H8" s="439"/>
      <c r="J8" s="437"/>
      <c r="K8" s="462" t="str">
        <f ca="1" xml:space="preserve"> Time!A$1</f>
        <v>Time</v>
      </c>
      <c r="L8" s="439"/>
      <c r="N8" s="437"/>
      <c r="O8" s="441" t="str">
        <f ca="1">F_Outputs!A1</f>
        <v>F_Outputs</v>
      </c>
      <c r="P8" s="439"/>
      <c r="R8" s="437"/>
      <c r="S8" s="456" t="str">
        <f ca="1">'Model formatting'!A1</f>
        <v>Model formatting</v>
      </c>
      <c r="T8" s="439"/>
      <c r="V8" s="442"/>
      <c r="W8" s="459" t="str">
        <f ca="1" xml:space="preserve"> Check!A1</f>
        <v>Check</v>
      </c>
      <c r="X8" s="443"/>
    </row>
    <row r="9" spans="1:25" ht="26.4">
      <c r="B9" s="437"/>
      <c r="C9" s="453" t="s">
        <v>124</v>
      </c>
      <c r="D9" s="439"/>
      <c r="F9" s="437"/>
      <c r="G9" s="450" t="s">
        <v>125</v>
      </c>
      <c r="H9" s="439"/>
      <c r="J9" s="437"/>
      <c r="K9" s="450" t="s">
        <v>126</v>
      </c>
      <c r="L9" s="439"/>
      <c r="N9" s="437"/>
      <c r="O9" s="450" t="s">
        <v>127</v>
      </c>
      <c r="P9" s="439"/>
      <c r="R9" s="437"/>
      <c r="S9" s="428" t="s">
        <v>128</v>
      </c>
      <c r="T9" s="439"/>
      <c r="V9" s="442"/>
      <c r="W9" s="428" t="s">
        <v>129</v>
      </c>
      <c r="X9" s="443"/>
    </row>
    <row r="10" spans="1:25" ht="13.8" thickBot="1">
      <c r="B10" s="437"/>
      <c r="D10" s="439"/>
      <c r="F10" s="437"/>
      <c r="H10" s="439"/>
      <c r="J10" s="437"/>
      <c r="K10" s="451"/>
      <c r="L10" s="439"/>
      <c r="N10" s="444"/>
      <c r="O10" s="446"/>
      <c r="P10" s="445"/>
      <c r="R10" s="437"/>
      <c r="T10" s="439"/>
      <c r="V10" s="457"/>
      <c r="W10" s="446"/>
      <c r="X10" s="458"/>
    </row>
    <row r="11" spans="1:25" ht="14.4" thickBot="1">
      <c r="B11" s="444"/>
      <c r="C11" s="446"/>
      <c r="D11" s="445"/>
      <c r="F11" s="444"/>
      <c r="G11" s="446"/>
      <c r="H11" s="445"/>
      <c r="J11" s="437"/>
      <c r="K11" s="143" t="str">
        <f ca="1">'Indices and K factor'!A1</f>
        <v>Indices and K factor</v>
      </c>
      <c r="L11" s="439"/>
      <c r="R11" s="437"/>
      <c r="S11" s="456" t="str">
        <f ca="1">A1</f>
        <v>ToC</v>
      </c>
      <c r="T11" s="439"/>
    </row>
    <row r="12" spans="1:25" ht="26.4">
      <c r="J12" s="437"/>
      <c r="K12" s="452" t="s">
        <v>130</v>
      </c>
      <c r="L12" s="439"/>
      <c r="R12" s="437"/>
      <c r="S12" s="428" t="s">
        <v>131</v>
      </c>
      <c r="T12" s="439"/>
    </row>
    <row r="13" spans="1:25" ht="13.8" thickBot="1">
      <c r="J13" s="437"/>
      <c r="K13" s="451"/>
      <c r="L13" s="439"/>
      <c r="R13" s="444"/>
      <c r="S13" s="446"/>
      <c r="T13" s="445"/>
    </row>
    <row r="14" spans="1:25" ht="14.4" thickBot="1">
      <c r="J14" s="437"/>
      <c r="K14" s="143" t="str">
        <f ca="1">'Wholesale Water'!A1</f>
        <v>Wholesale Water</v>
      </c>
      <c r="L14" s="439"/>
    </row>
    <row r="15" spans="1:25" ht="26.4">
      <c r="J15" s="437"/>
      <c r="K15" s="452" t="s">
        <v>132</v>
      </c>
      <c r="L15" s="439"/>
    </row>
    <row r="16" spans="1:25" ht="13.8" thickBot="1">
      <c r="J16" s="437"/>
      <c r="L16" s="439"/>
    </row>
    <row r="17" spans="1:25" ht="14.4" thickBot="1">
      <c r="J17" s="437"/>
      <c r="K17" s="143" t="str">
        <f ca="1">'Wastewater Network-Plus'!A1</f>
        <v>Wastewater Network-Plus</v>
      </c>
      <c r="L17" s="439"/>
    </row>
    <row r="18" spans="1:25" ht="26.4">
      <c r="J18" s="437"/>
      <c r="K18" s="452" t="s">
        <v>133</v>
      </c>
      <c r="L18" s="439"/>
      <c r="S18" s="428" t="s">
        <v>134</v>
      </c>
    </row>
    <row r="19" spans="1:25" ht="13.8" thickBot="1">
      <c r="J19" s="437"/>
      <c r="K19" s="452"/>
      <c r="L19" s="439"/>
    </row>
    <row r="20" spans="1:25" ht="14.4" thickBot="1">
      <c r="J20" s="437"/>
      <c r="K20" s="143" t="str">
        <f ca="1">'Wastewater TTT'!A1</f>
        <v>Wastewater TTT</v>
      </c>
      <c r="L20" s="439"/>
    </row>
    <row r="21" spans="1:25" ht="26.4">
      <c r="J21" s="437"/>
      <c r="K21" s="452" t="s">
        <v>135</v>
      </c>
      <c r="L21" s="439"/>
    </row>
    <row r="22" spans="1:25" ht="13.2">
      <c r="J22" s="444"/>
      <c r="K22" s="446"/>
      <c r="L22" s="445"/>
    </row>
    <row r="23" spans="1:25" ht="13.2"/>
    <row r="24" spans="1:25" ht="13.2"/>
    <row r="25" spans="1:25" ht="13.2"/>
    <row r="26" spans="1:25" ht="13.2">
      <c r="A26" s="447" t="s">
        <v>48</v>
      </c>
      <c r="B26" s="448"/>
      <c r="C26" s="449"/>
      <c r="D26" s="449"/>
      <c r="E26" s="449"/>
      <c r="F26" s="449"/>
      <c r="G26" s="449"/>
      <c r="H26" s="449"/>
      <c r="I26" s="449"/>
      <c r="J26" s="449"/>
      <c r="K26" s="449"/>
      <c r="L26" s="449"/>
      <c r="M26" s="449"/>
      <c r="N26" s="449"/>
      <c r="O26" s="449"/>
      <c r="P26" s="449"/>
      <c r="Q26" s="449"/>
      <c r="R26" s="449"/>
      <c r="S26" s="449"/>
      <c r="T26" s="449"/>
      <c r="U26" s="449"/>
      <c r="V26" s="449"/>
      <c r="W26" s="449"/>
      <c r="X26" s="449"/>
      <c r="Y26" s="449"/>
    </row>
    <row r="27" spans="1:25" ht="13.2"/>
    <row r="28" spans="1:25" ht="13.2" hidden="1"/>
    <row r="29" spans="1:25" ht="13.2" hidden="1"/>
    <row r="30" spans="1:25" ht="13.2" hidden="1"/>
    <row r="31" spans="1:25" ht="13.2" hidden="1"/>
    <row r="32" spans="1:25" ht="13.2" hidden="1"/>
    <row r="33" ht="13.2" hidden="1"/>
    <row r="34" ht="13.2" hidden="1"/>
    <row r="35" ht="13.2" hidden="1"/>
    <row r="36" ht="13.2" hidden="1"/>
    <row r="37" ht="13.2" hidden="1"/>
    <row r="38" ht="13.2" hidden="1"/>
    <row r="39" ht="13.2" hidden="1"/>
    <row r="40" ht="13.2" hidden="1"/>
    <row r="41" ht="13.2" hidden="1"/>
    <row r="42" ht="13.2" hidden="1"/>
    <row r="43" ht="13.2" hidden="1"/>
    <row r="44" ht="13.2" hidden="1"/>
    <row r="45" ht="13.2" hidden="1"/>
    <row r="46" ht="13.2" hidden="1"/>
    <row r="47" ht="13.2" hidden="1"/>
    <row r="48" ht="13.2" hidden="1"/>
    <row r="49" ht="13.2" hidden="1"/>
    <row r="50" ht="13.2" hidden="1"/>
    <row r="51" ht="13.2" hidden="1"/>
    <row r="52" ht="13.2" hidden="1"/>
    <row r="53" ht="13.2" hidden="1"/>
    <row r="54" ht="13.2" hidden="1"/>
    <row r="55" ht="13.2" hidden="1"/>
    <row r="56" ht="13.2" hidden="1"/>
    <row r="57" ht="13.2" hidden="1"/>
    <row r="58" ht="13.2" hidden="1"/>
    <row r="59" ht="13.2" hidden="1"/>
    <row r="60" ht="13.2" hidden="1"/>
    <row r="61" ht="13.2" hidden="1"/>
    <row r="62" ht="13.2" hidden="1"/>
    <row r="63" ht="13.2" hidden="1"/>
    <row r="64" ht="13.2" hidden="1"/>
    <row r="65" ht="13.2" hidden="1"/>
    <row r="66" ht="13.2" hidden="1"/>
    <row r="67" ht="13.2" hidden="1"/>
    <row r="68" ht="13.2" hidden="1"/>
    <row r="69" ht="13.2" hidden="1"/>
    <row r="70" ht="13.2" hidden="1"/>
    <row r="71" ht="13.2" hidden="1"/>
    <row r="72" ht="13.2" hidden="1"/>
    <row r="73" ht="13.2" hidden="1"/>
    <row r="74" ht="13.2" hidden="1"/>
    <row r="75" ht="13.2" hidden="1"/>
    <row r="76" ht="13.2"/>
    <row r="77" ht="13.2"/>
    <row r="78" ht="13.2"/>
    <row r="79" ht="13.2"/>
    <row r="80" ht="13.2"/>
    <row r="81" ht="13.2"/>
    <row r="82" ht="13.2"/>
    <row r="83" ht="13.2"/>
    <row r="84" ht="13.2"/>
    <row r="85" ht="13.2"/>
    <row r="86" ht="13.2"/>
    <row r="87" ht="13.2"/>
    <row r="88" ht="13.2"/>
    <row r="89" ht="13.2"/>
    <row r="90" ht="13.2"/>
    <row r="91" ht="13.2"/>
    <row r="92" ht="13.2"/>
    <row r="93" ht="13.2"/>
    <row r="94" ht="13.2"/>
    <row r="95" ht="13.2"/>
    <row r="96"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3.2"/>
    <row r="157" ht="13.2"/>
    <row r="158" ht="13.2"/>
    <row r="159" ht="12.6" customHeight="1"/>
  </sheetData>
  <pageMargins left="0.70866141732283472" right="0.70866141732283472" top="0.74803149606299213" bottom="0.74803149606299213" header="0.31496062992125984" footer="0.31496062992125984"/>
  <pageSetup paperSize="9" scale="68" orientation="landscape" r:id="rId1"/>
  <headerFooter>
    <oddHeader>&amp;LPage &amp;P of &amp;N&amp;CSheet: &amp;A&amp;ROFFICIAL SENSITIVE</oddHeader>
    <oddFooter>&amp;L&amp;F printed on &amp;D at &amp;T&amp;ROFWAT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rgb="FFFFFF99"/>
    <outlinePr summaryBelow="0" summaryRight="0"/>
    <pageSetUpPr autoPageBreaks="0" fitToPage="1"/>
  </sheetPr>
  <dimension ref="A1:W199"/>
  <sheetViews>
    <sheetView showGridLines="0" tabSelected="1"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outlineLevelRow="1"/>
  <cols>
    <col min="1" max="2" width="1.44140625" style="63" customWidth="1"/>
    <col min="3" max="3" width="1.44140625" style="110" customWidth="1"/>
    <col min="4" max="4" width="1.44140625" style="57" customWidth="1"/>
    <col min="5" max="5" width="66.109375" style="57" bestFit="1" customWidth="1"/>
    <col min="6" max="7" width="12.5546875" style="57" customWidth="1"/>
    <col min="8" max="8" width="15.5546875" style="57" customWidth="1"/>
    <col min="9" max="9" width="2.5546875" style="57" customWidth="1"/>
    <col min="10" max="23" width="12.5546875" style="57" customWidth="1"/>
    <col min="24" max="16384" width="9.109375" hidden="1"/>
  </cols>
  <sheetData>
    <row r="1" spans="1:23" ht="28.2">
      <c r="A1" s="213" t="str">
        <f ca="1" xml:space="preserve"> RIGHT(CELL("FILENAME", $A$1), LEN(CELL("FILENAME", $A$1)) - SEARCH("]", CELL("FILENAME", $A$1)))</f>
        <v>Inputs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109" t="str">
        <f xml:space="preserve"> Time!E$105</f>
        <v>Timeline label</v>
      </c>
      <c r="F3" s="158">
        <f xml:space="preserve"> Check!F$24</f>
        <v>3</v>
      </c>
      <c r="G3" s="82" t="str">
        <f xml:space="preserve"> Check!G$24</f>
        <v>Alerts</v>
      </c>
      <c r="H3" s="109"/>
      <c r="I3" s="109"/>
      <c r="J3" s="68" t="str">
        <f xml:space="preserve"> Time!J$105</f>
        <v>Pre-Fcst</v>
      </c>
      <c r="K3" s="68" t="str">
        <f xml:space="preserve"> Time!K$105</f>
        <v>Pre-Fcst</v>
      </c>
      <c r="L3" s="68" t="str">
        <f xml:space="preserve"> Time!L$105</f>
        <v>Pre-Fcst</v>
      </c>
      <c r="M3" s="68" t="str">
        <f xml:space="preserve"> Time!M$105</f>
        <v>Pre-Fcst</v>
      </c>
      <c r="N3" s="68" t="str">
        <f xml:space="preserve"> Time!N$105</f>
        <v>Pre-Fcst</v>
      </c>
      <c r="O3" s="68" t="str">
        <f xml:space="preserve"> Time!O$105</f>
        <v>Pre-Fcst</v>
      </c>
      <c r="P3" s="68" t="str">
        <f xml:space="preserve"> Time!P$105</f>
        <v>Forecast</v>
      </c>
      <c r="Q3" s="68" t="str">
        <f xml:space="preserve"> Time!Q$105</f>
        <v>Forecast</v>
      </c>
      <c r="R3" s="68" t="str">
        <f xml:space="preserve"> Time!R$105</f>
        <v>Forecast</v>
      </c>
      <c r="S3" s="68" t="str">
        <f xml:space="preserve"> Time!S$105</f>
        <v>Forecast</v>
      </c>
      <c r="T3" s="68" t="str">
        <f xml:space="preserve"> Time!T$105</f>
        <v>Forecast</v>
      </c>
      <c r="U3" s="68" t="str">
        <f xml:space="preserve"> Time!U$105</f>
        <v>Post-Fcst</v>
      </c>
      <c r="V3" s="68" t="str">
        <f xml:space="preserve"> Time!V$105</f>
        <v>Post-Fcst</v>
      </c>
      <c r="W3" s="68" t="str">
        <f xml:space="preserve"> Time!W$105</f>
        <v>Post-Fcst</v>
      </c>
    </row>
    <row r="4" spans="1:23">
      <c r="A4" s="90"/>
      <c r="B4" s="90"/>
      <c r="C4" s="91"/>
      <c r="D4" s="58"/>
      <c r="E4" s="58" t="str">
        <f xml:space="preserve"> Time!E$127</f>
        <v>Financial year ending</v>
      </c>
      <c r="F4" s="25"/>
      <c r="G4" s="25"/>
      <c r="H4" s="109"/>
      <c r="I4" s="109"/>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139</v>
      </c>
      <c r="B7" s="115"/>
      <c r="C7" s="114"/>
      <c r="D7" s="115"/>
      <c r="E7" s="115"/>
      <c r="F7" s="115"/>
      <c r="G7" s="115"/>
      <c r="H7" s="115"/>
      <c r="I7" s="115"/>
      <c r="J7" s="115"/>
      <c r="K7" s="115"/>
      <c r="L7" s="115"/>
      <c r="M7" s="115"/>
      <c r="N7" s="115"/>
      <c r="O7" s="115"/>
      <c r="P7" s="115"/>
      <c r="Q7" s="115"/>
      <c r="R7" s="115"/>
      <c r="S7" s="115"/>
      <c r="T7" s="115"/>
      <c r="U7" s="115"/>
      <c r="V7" s="115"/>
      <c r="W7" s="115"/>
    </row>
    <row r="8" spans="1:23" ht="12.75" customHeight="1">
      <c r="A8" s="174"/>
      <c r="C8"/>
      <c r="E8"/>
      <c r="F8" s="1"/>
      <c r="G8" s="28"/>
      <c r="H8" s="28"/>
      <c r="I8"/>
      <c r="J8" s="174"/>
      <c r="K8" s="174"/>
      <c r="L8" s="174"/>
      <c r="M8" s="174"/>
      <c r="N8" s="174"/>
      <c r="O8" s="174"/>
      <c r="P8" s="174"/>
      <c r="Q8" s="174"/>
      <c r="R8" s="174"/>
      <c r="S8" s="174"/>
      <c r="T8" s="174"/>
      <c r="U8" s="174"/>
      <c r="V8" s="174"/>
      <c r="W8" s="174"/>
    </row>
    <row r="9" spans="1:23" ht="12.75" customHeight="1" outlineLevel="1">
      <c r="A9" s="174"/>
      <c r="B9" s="99" t="s">
        <v>140</v>
      </c>
      <c r="C9" s="99"/>
      <c r="D9" s="100"/>
      <c r="E9" s="100"/>
      <c r="F9" s="30"/>
      <c r="G9" s="31"/>
      <c r="H9" s="31"/>
      <c r="I9" s="109"/>
      <c r="J9" s="109"/>
      <c r="K9" s="109"/>
      <c r="L9" s="109"/>
      <c r="M9" s="109"/>
      <c r="N9" s="109"/>
      <c r="O9" s="109"/>
      <c r="P9" s="58"/>
      <c r="Q9" s="58"/>
      <c r="R9" s="58"/>
      <c r="S9" s="58"/>
      <c r="T9" s="58"/>
      <c r="U9" s="58"/>
      <c r="V9" s="58"/>
      <c r="W9" s="58"/>
    </row>
    <row r="10" spans="1:23" ht="12.75" customHeight="1" outlineLevel="1">
      <c r="A10" s="174"/>
      <c r="C10" s="63"/>
      <c r="F10" s="27"/>
      <c r="G10" s="28"/>
      <c r="H10" s="28"/>
      <c r="P10" s="101"/>
      <c r="Q10" s="101"/>
      <c r="R10" s="101"/>
      <c r="S10" s="101"/>
      <c r="T10" s="101"/>
      <c r="U10" s="101"/>
      <c r="V10" s="101"/>
      <c r="W10" s="101"/>
    </row>
    <row r="11" spans="1:23" ht="12.75" customHeight="1" outlineLevel="1">
      <c r="A11" s="174"/>
      <c r="C11" s="63" t="s">
        <v>141</v>
      </c>
      <c r="F11" s="27"/>
      <c r="G11" s="28"/>
      <c r="H11" s="28"/>
      <c r="P11" s="101"/>
      <c r="Q11" s="101"/>
      <c r="R11" s="101"/>
      <c r="S11" s="101"/>
      <c r="T11" s="101"/>
      <c r="U11" s="101"/>
      <c r="V11" s="101"/>
      <c r="W11" s="101"/>
    </row>
    <row r="12" spans="1:23" ht="12.75" customHeight="1" outlineLevel="1">
      <c r="A12" s="174"/>
      <c r="B12" s="49"/>
      <c r="C12" s="58"/>
      <c r="D12" s="58"/>
      <c r="E12" s="12" t="s">
        <v>142</v>
      </c>
      <c r="F12" s="310">
        <v>41730</v>
      </c>
      <c r="G12" s="131" t="s">
        <v>143</v>
      </c>
      <c r="H12" s="20" t="s">
        <v>144</v>
      </c>
      <c r="I12" s="5"/>
      <c r="J12" s="37"/>
      <c r="K12" s="37"/>
      <c r="L12" s="37"/>
      <c r="M12" s="37"/>
      <c r="N12" s="37"/>
      <c r="O12" s="37"/>
      <c r="P12" s="37"/>
      <c r="Q12" s="37"/>
      <c r="R12" s="37"/>
      <c r="S12" s="37"/>
      <c r="T12" s="37"/>
      <c r="U12" s="37"/>
      <c r="V12" s="37"/>
      <c r="W12" s="37"/>
    </row>
    <row r="13" spans="1:23" ht="12.75" customHeight="1" outlineLevel="1">
      <c r="A13" s="174"/>
      <c r="B13" s="49"/>
      <c r="C13" s="37"/>
      <c r="D13" s="58"/>
      <c r="E13" s="20"/>
      <c r="F13" s="16"/>
      <c r="G13" s="28"/>
      <c r="H13" s="20"/>
      <c r="I13" s="20"/>
      <c r="J13" s="37"/>
      <c r="K13" s="37"/>
      <c r="L13" s="37"/>
      <c r="M13" s="37"/>
      <c r="N13" s="37"/>
      <c r="O13" s="37"/>
      <c r="P13" s="37"/>
      <c r="Q13" s="37"/>
      <c r="R13" s="37"/>
      <c r="S13" s="37"/>
      <c r="T13" s="37"/>
      <c r="U13" s="37"/>
      <c r="V13" s="37"/>
      <c r="W13" s="37"/>
    </row>
    <row r="14" spans="1:23" ht="12.75" customHeight="1" outlineLevel="1">
      <c r="A14" s="174"/>
      <c r="C14" s="64" t="s">
        <v>145</v>
      </c>
      <c r="F14" s="27"/>
      <c r="G14" s="28"/>
      <c r="H14" s="20"/>
      <c r="P14" s="101"/>
      <c r="Q14" s="101"/>
      <c r="R14" s="101"/>
      <c r="S14" s="101"/>
      <c r="T14" s="101"/>
      <c r="U14" s="101"/>
      <c r="V14" s="101"/>
      <c r="W14" s="101"/>
    </row>
    <row r="15" spans="1:23" ht="12.75" customHeight="1" outlineLevel="1">
      <c r="A15" s="174"/>
      <c r="B15" s="49"/>
      <c r="C15" s="58"/>
      <c r="D15" s="58"/>
      <c r="E15" s="101" t="s">
        <v>146</v>
      </c>
      <c r="F15" s="311">
        <v>2015</v>
      </c>
      <c r="G15" s="29" t="s">
        <v>147</v>
      </c>
      <c r="H15" s="29" t="s">
        <v>148</v>
      </c>
      <c r="I15" s="20"/>
      <c r="J15" s="37"/>
      <c r="K15" s="101"/>
      <c r="L15" s="101"/>
      <c r="M15" s="101"/>
      <c r="N15" s="37"/>
      <c r="O15" s="37"/>
      <c r="P15" s="37"/>
      <c r="Q15" s="37"/>
      <c r="R15" s="37"/>
      <c r="S15" s="37"/>
      <c r="T15" s="37"/>
      <c r="U15" s="37"/>
      <c r="V15" s="37"/>
      <c r="W15" s="37"/>
    </row>
    <row r="16" spans="1:23" ht="12.75" customHeight="1" outlineLevel="1">
      <c r="A16" s="174"/>
      <c r="B16" s="49"/>
      <c r="C16" s="58"/>
      <c r="D16" s="58"/>
      <c r="E16" s="57" t="s">
        <v>149</v>
      </c>
      <c r="F16" s="312">
        <v>3</v>
      </c>
      <c r="G16" s="57" t="s">
        <v>150</v>
      </c>
      <c r="H16" s="57" t="s">
        <v>151</v>
      </c>
      <c r="I16" s="20"/>
      <c r="J16" s="37"/>
      <c r="K16" s="101"/>
      <c r="L16" s="101"/>
      <c r="M16" s="101"/>
      <c r="N16" s="37"/>
      <c r="O16" s="37"/>
      <c r="P16" s="37"/>
      <c r="Q16" s="37"/>
      <c r="R16" s="37"/>
      <c r="S16" s="37"/>
      <c r="T16" s="37"/>
      <c r="U16" s="37"/>
      <c r="V16" s="37"/>
      <c r="W16" s="37"/>
    </row>
    <row r="17" spans="1:23" ht="12.75" customHeight="1" outlineLevel="1">
      <c r="A17" s="174"/>
      <c r="B17" s="49"/>
      <c r="C17" s="37"/>
      <c r="D17" s="58"/>
      <c r="E17" s="28"/>
      <c r="F17" s="132"/>
      <c r="G17" s="28"/>
      <c r="H17" s="37"/>
      <c r="I17" s="20"/>
      <c r="J17" s="37"/>
      <c r="K17" s="101"/>
      <c r="L17" s="101"/>
      <c r="M17" s="101"/>
      <c r="N17" s="37"/>
      <c r="O17" s="37"/>
      <c r="P17" s="37"/>
      <c r="Q17" s="37"/>
      <c r="R17" s="37"/>
      <c r="S17" s="37"/>
      <c r="T17" s="37"/>
      <c r="U17" s="37"/>
      <c r="V17" s="37"/>
      <c r="W17" s="37"/>
    </row>
    <row r="18" spans="1:23" ht="12.75" customHeight="1" outlineLevel="1">
      <c r="A18" s="174"/>
      <c r="C18" s="63" t="s">
        <v>152</v>
      </c>
      <c r="D18" s="101"/>
      <c r="F18" s="101"/>
      <c r="G18" s="101"/>
      <c r="H18" s="28"/>
      <c r="I18"/>
      <c r="J18" s="174"/>
      <c r="K18" s="101"/>
      <c r="L18" s="101"/>
      <c r="M18" s="101"/>
      <c r="N18" s="174"/>
      <c r="O18" s="174"/>
      <c r="P18" s="174"/>
      <c r="Q18" s="174"/>
      <c r="R18" s="174"/>
      <c r="S18" s="174"/>
      <c r="T18" s="174"/>
      <c r="U18" s="174"/>
      <c r="V18" s="174"/>
      <c r="W18" s="174"/>
    </row>
    <row r="19" spans="1:23" ht="12.75" customHeight="1" outlineLevel="1">
      <c r="A19" s="174"/>
      <c r="C19" s="174"/>
      <c r="D19" s="101"/>
      <c r="E19" s="57" t="s">
        <v>153</v>
      </c>
      <c r="F19" s="133" t="s">
        <v>154</v>
      </c>
      <c r="G19" s="57" t="s">
        <v>155</v>
      </c>
      <c r="H19" s="28"/>
      <c r="I19"/>
      <c r="J19" s="174"/>
      <c r="K19" s="92"/>
      <c r="L19" s="101"/>
      <c r="M19" s="92"/>
      <c r="N19" s="174"/>
      <c r="O19" s="174"/>
      <c r="P19" s="174"/>
      <c r="Q19" s="174"/>
      <c r="R19" s="174"/>
      <c r="S19" s="174"/>
      <c r="T19" s="174"/>
      <c r="U19" s="174"/>
      <c r="V19" s="174"/>
      <c r="W19" s="174"/>
    </row>
    <row r="20" spans="1:23" ht="12.75" customHeight="1" outlineLevel="1">
      <c r="A20" s="174"/>
      <c r="C20" s="174"/>
      <c r="D20" s="101"/>
      <c r="E20" s="57" t="s">
        <v>156</v>
      </c>
      <c r="F20" s="134" t="s">
        <v>157</v>
      </c>
      <c r="G20" s="57" t="s">
        <v>155</v>
      </c>
      <c r="H20" s="28"/>
      <c r="I20"/>
      <c r="J20" s="174"/>
      <c r="K20" s="101"/>
      <c r="L20" s="101"/>
      <c r="M20" s="101"/>
      <c r="N20" s="174"/>
      <c r="O20" s="174"/>
      <c r="P20" s="174"/>
      <c r="Q20" s="174"/>
      <c r="R20" s="174"/>
      <c r="S20" s="174"/>
      <c r="T20" s="174"/>
      <c r="U20" s="174"/>
      <c r="V20" s="174"/>
      <c r="W20" s="174"/>
    </row>
    <row r="21" spans="1:23" ht="12.75" customHeight="1" outlineLevel="1">
      <c r="A21" s="174"/>
      <c r="C21" s="174"/>
      <c r="D21" s="101"/>
      <c r="E21" s="57" t="s">
        <v>158</v>
      </c>
      <c r="F21" s="135" t="s">
        <v>159</v>
      </c>
      <c r="G21" s="57" t="s">
        <v>155</v>
      </c>
      <c r="H21" s="28"/>
      <c r="I21"/>
      <c r="J21" s="174"/>
      <c r="K21" s="101"/>
      <c r="L21" s="101"/>
      <c r="M21" s="101"/>
      <c r="N21" s="174"/>
      <c r="O21" s="174"/>
      <c r="P21" s="174"/>
      <c r="Q21" s="174"/>
      <c r="R21" s="174"/>
      <c r="S21" s="174"/>
      <c r="T21" s="174"/>
      <c r="U21" s="174"/>
      <c r="V21" s="174"/>
      <c r="W21" s="174"/>
    </row>
    <row r="22" spans="1:23" ht="12.75" customHeight="1" outlineLevel="1">
      <c r="A22" s="174"/>
      <c r="C22" s="174"/>
      <c r="D22" s="101"/>
      <c r="F22" s="101"/>
      <c r="G22" s="101"/>
      <c r="H22" s="28"/>
      <c r="I22"/>
      <c r="J22" s="174"/>
      <c r="K22" s="101"/>
      <c r="L22" s="101"/>
      <c r="M22" s="101"/>
      <c r="N22" s="174"/>
      <c r="O22" s="174"/>
      <c r="P22" s="174"/>
      <c r="Q22" s="174"/>
      <c r="R22" s="174"/>
      <c r="S22" s="174"/>
      <c r="T22" s="174"/>
      <c r="U22" s="174"/>
      <c r="V22" s="174"/>
      <c r="W22" s="174"/>
    </row>
    <row r="23" spans="1:23" ht="12.75" customHeight="1" outlineLevel="1">
      <c r="A23" s="174"/>
      <c r="B23" s="99" t="s">
        <v>160</v>
      </c>
      <c r="C23" s="99"/>
      <c r="D23" s="100"/>
      <c r="E23" s="100"/>
      <c r="F23" s="30"/>
      <c r="G23" s="31"/>
      <c r="H23" s="31"/>
      <c r="I23" s="109"/>
      <c r="J23" s="109"/>
      <c r="K23" s="109"/>
      <c r="L23" s="109"/>
      <c r="M23" s="109"/>
      <c r="N23" s="109"/>
      <c r="O23" s="109"/>
      <c r="P23" s="58"/>
      <c r="Q23" s="58"/>
      <c r="R23" s="58"/>
      <c r="S23" s="58"/>
      <c r="T23" s="58"/>
      <c r="U23" s="58"/>
      <c r="V23" s="58"/>
      <c r="W23" s="58"/>
    </row>
    <row r="24" spans="1:23" ht="12.75" customHeight="1" outlineLevel="1">
      <c r="A24" s="174"/>
      <c r="C24" s="174"/>
      <c r="D24" s="101"/>
      <c r="F24" s="101"/>
      <c r="G24" s="101"/>
      <c r="H24" s="28"/>
      <c r="I24"/>
      <c r="J24" s="174"/>
      <c r="K24" s="101"/>
      <c r="L24" s="101"/>
      <c r="M24" s="101"/>
      <c r="N24" s="174"/>
      <c r="O24" s="174"/>
      <c r="P24" s="174"/>
      <c r="Q24" s="174"/>
      <c r="R24" s="174"/>
      <c r="S24" s="174"/>
      <c r="T24" s="174"/>
      <c r="U24" s="174"/>
      <c r="V24" s="174"/>
      <c r="W24" s="174"/>
    </row>
    <row r="25" spans="1:23" ht="12.75" customHeight="1" outlineLevel="1">
      <c r="A25" s="174"/>
      <c r="E25" s="12" t="s">
        <v>161</v>
      </c>
      <c r="F25" s="310">
        <v>43922</v>
      </c>
      <c r="G25" s="12" t="s">
        <v>143</v>
      </c>
      <c r="H25" s="12"/>
      <c r="I25" s="12"/>
      <c r="J25" s="12"/>
      <c r="K25" s="16"/>
      <c r="L25" s="16"/>
      <c r="M25" s="16"/>
      <c r="N25" s="16"/>
      <c r="O25" s="16"/>
      <c r="P25" s="16"/>
      <c r="Q25" s="16"/>
      <c r="R25" s="16"/>
      <c r="S25" s="16"/>
      <c r="T25" s="16"/>
      <c r="U25" s="16"/>
      <c r="V25" s="16"/>
      <c r="W25" s="16"/>
    </row>
    <row r="26" spans="1:23" ht="12.75" customHeight="1" outlineLevel="1">
      <c r="A26" s="174"/>
      <c r="B26" s="102"/>
      <c r="C26" s="103"/>
      <c r="E26" s="94" t="s">
        <v>162</v>
      </c>
      <c r="F26" s="312">
        <v>5</v>
      </c>
      <c r="G26" s="94" t="s">
        <v>163</v>
      </c>
      <c r="H26" s="104"/>
      <c r="I26" s="104"/>
      <c r="J26" s="104"/>
      <c r="K26" s="104"/>
      <c r="L26" s="104"/>
      <c r="M26" s="104"/>
      <c r="N26" s="104"/>
      <c r="O26" s="104"/>
      <c r="P26" s="104"/>
      <c r="Q26" s="104"/>
      <c r="R26" s="104"/>
      <c r="S26" s="104"/>
      <c r="T26" s="104"/>
      <c r="U26" s="104"/>
      <c r="V26" s="104"/>
      <c r="W26" s="104"/>
    </row>
    <row r="27" spans="1:23" ht="12.75" customHeight="1" outlineLevel="1">
      <c r="A27" s="174"/>
      <c r="B27" s="102"/>
      <c r="C27" s="103"/>
      <c r="E27" s="104" t="s">
        <v>164</v>
      </c>
      <c r="F27" s="313" t="s">
        <v>165</v>
      </c>
      <c r="G27" s="104" t="s">
        <v>163</v>
      </c>
      <c r="H27" s="76" t="s">
        <v>166</v>
      </c>
      <c r="I27" s="104"/>
      <c r="J27" s="104"/>
      <c r="K27" s="104"/>
      <c r="L27" s="104"/>
      <c r="M27" s="104"/>
      <c r="N27" s="104"/>
      <c r="O27" s="104"/>
      <c r="P27" s="104"/>
      <c r="Q27" s="104"/>
      <c r="R27" s="104"/>
      <c r="S27" s="104"/>
      <c r="T27" s="104"/>
      <c r="U27" s="104"/>
      <c r="V27" s="104"/>
      <c r="W27" s="104"/>
    </row>
    <row r="28" spans="1:23" outlineLevel="1">
      <c r="A28" s="64"/>
      <c r="B28" s="64"/>
      <c r="C28" s="62"/>
      <c r="D28" s="101"/>
      <c r="E28" s="101"/>
      <c r="F28" s="101"/>
      <c r="G28" s="101"/>
      <c r="H28" s="101"/>
    </row>
    <row r="29" spans="1:23" ht="12.75" customHeight="1">
      <c r="A29" s="115" t="s">
        <v>167</v>
      </c>
      <c r="B29" s="115"/>
      <c r="C29" s="114"/>
      <c r="D29" s="115"/>
      <c r="E29" s="115"/>
      <c r="F29" s="115"/>
      <c r="G29" s="115"/>
      <c r="H29" s="115"/>
      <c r="I29" s="115"/>
      <c r="J29" s="115"/>
      <c r="K29" s="115"/>
      <c r="L29" s="115"/>
      <c r="M29" s="115"/>
      <c r="N29" s="115"/>
      <c r="O29" s="115"/>
      <c r="P29" s="115"/>
      <c r="Q29" s="115"/>
      <c r="R29" s="115"/>
      <c r="S29" s="115"/>
      <c r="T29" s="115"/>
      <c r="U29" s="115"/>
      <c r="V29" s="115"/>
      <c r="W29" s="115"/>
    </row>
    <row r="30" spans="1:23"/>
    <row r="31" spans="1:23" ht="12.75" customHeight="1" outlineLevel="1">
      <c r="B31" s="31"/>
      <c r="C31" s="31"/>
      <c r="D31" s="31"/>
      <c r="E31" s="101" t="s">
        <v>168</v>
      </c>
      <c r="F31" s="314">
        <v>42826</v>
      </c>
      <c r="G31" s="29" t="s">
        <v>147</v>
      </c>
      <c r="H31" s="29" t="s">
        <v>148</v>
      </c>
      <c r="I31" s="109"/>
      <c r="J31" s="109"/>
      <c r="K31" s="109"/>
      <c r="L31" s="109"/>
      <c r="M31" s="109"/>
      <c r="N31" s="109"/>
      <c r="O31" s="109"/>
      <c r="P31" s="58"/>
      <c r="Q31" s="58"/>
      <c r="R31" s="58"/>
      <c r="S31" s="58"/>
      <c r="T31" s="58"/>
      <c r="U31" s="58"/>
      <c r="V31" s="58"/>
      <c r="W31" s="58"/>
    </row>
    <row r="32" spans="1:23" ht="12.75" customHeight="1" outlineLevel="1">
      <c r="B32" s="31"/>
      <c r="C32" s="31"/>
      <c r="D32" s="31"/>
      <c r="E32" s="31"/>
      <c r="F32" s="31"/>
      <c r="G32" s="31"/>
      <c r="H32" s="31"/>
      <c r="I32" s="109"/>
      <c r="J32" s="109"/>
      <c r="K32" s="109"/>
      <c r="L32" s="109"/>
      <c r="M32" s="109"/>
      <c r="N32" s="109"/>
      <c r="O32" s="109"/>
      <c r="P32" s="58"/>
      <c r="Q32" s="58"/>
      <c r="R32" s="58"/>
      <c r="S32" s="58"/>
      <c r="T32" s="58"/>
      <c r="U32" s="58"/>
      <c r="V32" s="58"/>
      <c r="W32" s="58"/>
    </row>
    <row r="33" spans="1:23" ht="12.75" customHeight="1" outlineLevel="1">
      <c r="B33" s="234" t="s">
        <v>169</v>
      </c>
      <c r="C33" s="234"/>
      <c r="D33" s="235"/>
      <c r="E33" s="235"/>
      <c r="F33" s="30"/>
      <c r="G33" s="31"/>
      <c r="H33" s="31"/>
      <c r="I33" s="109"/>
      <c r="J33" s="109"/>
      <c r="K33" s="109"/>
      <c r="L33" s="109"/>
      <c r="M33" s="109"/>
      <c r="N33" s="109"/>
      <c r="O33" s="109"/>
      <c r="P33" s="58"/>
      <c r="Q33" s="58"/>
      <c r="R33" s="58"/>
      <c r="S33" s="58"/>
      <c r="T33" s="58"/>
      <c r="U33" s="58"/>
      <c r="V33" s="58"/>
      <c r="W33" s="58"/>
    </row>
    <row r="34" spans="1:23" ht="12.75" customHeight="1" outlineLevel="1">
      <c r="B34" s="90"/>
      <c r="C34" s="90"/>
      <c r="D34" s="58"/>
      <c r="E34" s="58"/>
      <c r="F34" s="30"/>
      <c r="G34" s="31"/>
      <c r="H34" s="31"/>
      <c r="I34" s="109"/>
      <c r="J34" s="109"/>
      <c r="K34" s="109"/>
      <c r="L34" s="109"/>
      <c r="M34" s="109"/>
      <c r="N34" s="109"/>
      <c r="O34" s="109"/>
      <c r="P34" s="58"/>
      <c r="Q34" s="58"/>
      <c r="R34" s="58"/>
      <c r="S34" s="58"/>
      <c r="T34" s="58"/>
      <c r="U34" s="58"/>
      <c r="V34" s="58"/>
      <c r="W34" s="58"/>
    </row>
    <row r="35" spans="1:23" ht="12" customHeight="1" outlineLevel="1">
      <c r="B35" s="51"/>
      <c r="C35" s="51"/>
      <c r="D35" s="101"/>
      <c r="E35" s="94" t="s">
        <v>170</v>
      </c>
      <c r="F35" s="94"/>
      <c r="G35" s="94" t="s">
        <v>171</v>
      </c>
      <c r="H35" s="94"/>
      <c r="I35" s="94"/>
      <c r="J35" s="348">
        <v>99.9</v>
      </c>
      <c r="K35" s="348">
        <v>100.3</v>
      </c>
      <c r="L35" s="348">
        <v>101.8</v>
      </c>
      <c r="M35" s="348">
        <v>104.7</v>
      </c>
      <c r="N35" s="348">
        <v>106.9</v>
      </c>
      <c r="O35" s="348">
        <v>108.5</v>
      </c>
      <c r="P35" s="348">
        <v>109.1</v>
      </c>
      <c r="Q35" s="348">
        <v>114.1</v>
      </c>
      <c r="R35" s="348">
        <v>124.8</v>
      </c>
      <c r="S35" s="348">
        <v>130.04900000000001</v>
      </c>
      <c r="T35" s="348">
        <v>134.11666666666665</v>
      </c>
      <c r="U35" s="348"/>
      <c r="V35" s="348"/>
      <c r="W35" s="348"/>
    </row>
    <row r="36" spans="1:23" ht="12" customHeight="1" outlineLevel="1">
      <c r="C36" s="63"/>
      <c r="F36" s="27"/>
      <c r="G36" s="28"/>
      <c r="H36" s="28"/>
      <c r="J36" s="349"/>
      <c r="K36" s="349"/>
      <c r="L36" s="349"/>
      <c r="M36" s="349"/>
      <c r="N36" s="349"/>
      <c r="O36" s="349"/>
      <c r="P36" s="350"/>
      <c r="Q36" s="350"/>
      <c r="R36" s="350"/>
      <c r="S36" s="350"/>
      <c r="T36" s="350"/>
      <c r="U36" s="350"/>
      <c r="V36" s="350"/>
      <c r="W36" s="350"/>
    </row>
    <row r="37" spans="1:23" ht="12" customHeight="1" outlineLevel="1">
      <c r="C37" s="63"/>
      <c r="E37" s="57" t="s">
        <v>172</v>
      </c>
      <c r="F37" s="315">
        <v>0.02</v>
      </c>
      <c r="G37" s="6" t="s">
        <v>173</v>
      </c>
      <c r="H37" s="28"/>
      <c r="J37" s="349"/>
      <c r="K37" s="349"/>
      <c r="L37" s="349"/>
      <c r="M37" s="349"/>
      <c r="N37" s="349"/>
      <c r="O37" s="349"/>
      <c r="P37" s="350"/>
      <c r="Q37" s="350"/>
      <c r="R37" s="350"/>
      <c r="S37" s="350"/>
      <c r="T37" s="350"/>
      <c r="U37" s="350"/>
      <c r="V37" s="350"/>
      <c r="W37" s="350"/>
    </row>
    <row r="38" spans="1:23" ht="12" customHeight="1" outlineLevel="1">
      <c r="C38" s="63"/>
      <c r="F38" s="27"/>
      <c r="G38" s="6"/>
      <c r="H38" s="28"/>
      <c r="J38" s="349"/>
      <c r="K38" s="349"/>
      <c r="L38" s="349"/>
      <c r="M38" s="349"/>
      <c r="N38" s="349"/>
      <c r="O38" s="349"/>
      <c r="P38" s="350"/>
      <c r="Q38" s="350"/>
      <c r="R38" s="350"/>
      <c r="S38" s="350"/>
      <c r="T38" s="350"/>
      <c r="U38" s="350"/>
      <c r="V38" s="350"/>
      <c r="W38" s="350"/>
    </row>
    <row r="39" spans="1:23" ht="12" customHeight="1" outlineLevel="1">
      <c r="C39" s="63"/>
      <c r="E39" s="94" t="s">
        <v>174</v>
      </c>
      <c r="F39" s="27"/>
      <c r="G39" s="28" t="s">
        <v>171</v>
      </c>
      <c r="H39" s="94"/>
      <c r="J39" s="351">
        <f xml:space="preserve"> IF( J35 &gt; 0, J35, I39 * ( 1 + $F$37 ) )</f>
        <v>99.9</v>
      </c>
      <c r="K39" s="351">
        <f t="shared" ref="K39:W39" si="0" xml:space="preserve"> IF( K35 &gt; 0, K35, J39 * ( 1 + $F$37 ) )</f>
        <v>100.3</v>
      </c>
      <c r="L39" s="351">
        <f t="shared" si="0"/>
        <v>101.8</v>
      </c>
      <c r="M39" s="351">
        <f t="shared" si="0"/>
        <v>104.7</v>
      </c>
      <c r="N39" s="351">
        <f t="shared" si="0"/>
        <v>106.9</v>
      </c>
      <c r="O39" s="351">
        <f t="shared" si="0"/>
        <v>108.5</v>
      </c>
      <c r="P39" s="351">
        <f t="shared" si="0"/>
        <v>109.1</v>
      </c>
      <c r="Q39" s="351">
        <f t="shared" si="0"/>
        <v>114.1</v>
      </c>
      <c r="R39" s="351">
        <f t="shared" si="0"/>
        <v>124.8</v>
      </c>
      <c r="S39" s="351">
        <f t="shared" si="0"/>
        <v>130.04900000000001</v>
      </c>
      <c r="T39" s="351">
        <f t="shared" si="0"/>
        <v>134.11666666666665</v>
      </c>
      <c r="U39" s="351">
        <f t="shared" si="0"/>
        <v>136.79899999999998</v>
      </c>
      <c r="V39" s="351">
        <f t="shared" si="0"/>
        <v>139.53497999999999</v>
      </c>
      <c r="W39" s="351">
        <f t="shared" si="0"/>
        <v>142.3256796</v>
      </c>
    </row>
    <row r="40" spans="1:23" ht="12" customHeight="1" outlineLevel="1">
      <c r="C40" s="63"/>
      <c r="F40" s="27"/>
      <c r="G40" s="28"/>
      <c r="H40" s="28"/>
      <c r="J40" s="352"/>
      <c r="K40" s="352"/>
      <c r="L40" s="352"/>
      <c r="M40" s="352"/>
      <c r="N40" s="352"/>
      <c r="O40" s="352"/>
      <c r="P40" s="351"/>
      <c r="Q40" s="351"/>
      <c r="R40" s="351"/>
      <c r="S40" s="351"/>
      <c r="T40" s="351"/>
      <c r="U40" s="351"/>
      <c r="V40" s="351"/>
      <c r="W40" s="351"/>
    </row>
    <row r="41" spans="1:23" ht="12" customHeight="1" outlineLevel="1">
      <c r="C41" s="63"/>
      <c r="E41" s="94" t="s">
        <v>175</v>
      </c>
      <c r="F41" s="27"/>
      <c r="G41" s="28" t="s">
        <v>171</v>
      </c>
      <c r="H41" s="94"/>
      <c r="J41" s="351"/>
      <c r="K41" s="351">
        <f xml:space="preserve"> J39</f>
        <v>99.9</v>
      </c>
      <c r="L41" s="351">
        <f t="shared" ref="L41:W41" si="1" xml:space="preserve"> K39</f>
        <v>100.3</v>
      </c>
      <c r="M41" s="351">
        <f t="shared" si="1"/>
        <v>101.8</v>
      </c>
      <c r="N41" s="351">
        <f t="shared" si="1"/>
        <v>104.7</v>
      </c>
      <c r="O41" s="351">
        <f t="shared" si="1"/>
        <v>106.9</v>
      </c>
      <c r="P41" s="351">
        <f t="shared" si="1"/>
        <v>108.5</v>
      </c>
      <c r="Q41" s="351">
        <f t="shared" si="1"/>
        <v>109.1</v>
      </c>
      <c r="R41" s="351">
        <f t="shared" si="1"/>
        <v>114.1</v>
      </c>
      <c r="S41" s="351">
        <f t="shared" si="1"/>
        <v>124.8</v>
      </c>
      <c r="T41" s="351">
        <f t="shared" si="1"/>
        <v>130.04900000000001</v>
      </c>
      <c r="U41" s="351">
        <f t="shared" si="1"/>
        <v>134.11666666666665</v>
      </c>
      <c r="V41" s="351">
        <f t="shared" si="1"/>
        <v>136.79899999999998</v>
      </c>
      <c r="W41" s="351">
        <f t="shared" si="1"/>
        <v>139.53497999999999</v>
      </c>
    </row>
    <row r="42" spans="1:23" ht="12" customHeight="1" outlineLevel="1">
      <c r="C42" s="63"/>
      <c r="E42" s="94"/>
      <c r="F42" s="27"/>
      <c r="G42" s="28"/>
      <c r="H42" s="94"/>
      <c r="J42" s="95"/>
      <c r="K42" s="95"/>
      <c r="L42" s="95"/>
      <c r="M42" s="95"/>
      <c r="N42" s="95"/>
      <c r="O42" s="95"/>
      <c r="P42" s="95"/>
      <c r="Q42" s="95"/>
      <c r="R42" s="95"/>
      <c r="S42" s="95"/>
      <c r="T42" s="95"/>
      <c r="U42" s="95"/>
      <c r="V42" s="95"/>
      <c r="W42" s="95"/>
    </row>
    <row r="43" spans="1:23" ht="12" customHeight="1" outlineLevel="1">
      <c r="C43" s="63"/>
      <c r="E43" s="94" t="s">
        <v>176</v>
      </c>
      <c r="F43" s="327">
        <f xml:space="preserve"> M41</f>
        <v>101.8</v>
      </c>
      <c r="G43" s="28" t="s">
        <v>171</v>
      </c>
      <c r="H43" s="94"/>
      <c r="J43" s="95"/>
      <c r="K43" s="95"/>
      <c r="L43" s="95"/>
      <c r="M43" s="95"/>
      <c r="N43" s="95"/>
      <c r="O43" s="95"/>
      <c r="P43" s="95"/>
      <c r="Q43" s="95"/>
      <c r="R43" s="95"/>
      <c r="S43" s="95"/>
      <c r="T43" s="95"/>
      <c r="U43" s="95"/>
      <c r="V43" s="95"/>
      <c r="W43" s="95"/>
    </row>
    <row r="44" spans="1:23" ht="12" customHeight="1" outlineLevel="1">
      <c r="C44" s="63"/>
      <c r="E44" s="94"/>
      <c r="F44" s="27"/>
      <c r="G44" s="28"/>
      <c r="H44" s="94"/>
      <c r="I44" s="94"/>
      <c r="J44" s="94"/>
      <c r="K44" s="94"/>
      <c r="L44" s="94"/>
      <c r="M44" s="94"/>
      <c r="N44" s="94"/>
      <c r="O44" s="94"/>
      <c r="P44" s="94"/>
      <c r="Q44" s="94"/>
      <c r="R44" s="94"/>
      <c r="S44" s="94"/>
      <c r="T44" s="94"/>
      <c r="U44" s="94"/>
      <c r="V44" s="94"/>
      <c r="W44" s="94"/>
    </row>
    <row r="45" spans="1:23" ht="12.75" customHeight="1">
      <c r="A45" s="115" t="s">
        <v>177</v>
      </c>
      <c r="B45" s="115"/>
      <c r="C45" s="114"/>
      <c r="D45" s="115"/>
      <c r="E45" s="115"/>
      <c r="F45" s="115"/>
      <c r="G45" s="115"/>
      <c r="H45" s="115"/>
      <c r="I45" s="115"/>
      <c r="J45" s="115"/>
      <c r="K45" s="115"/>
      <c r="L45" s="115"/>
      <c r="M45" s="115"/>
      <c r="N45" s="115"/>
      <c r="O45" s="115"/>
      <c r="P45" s="115"/>
      <c r="Q45" s="115"/>
      <c r="R45" s="115"/>
      <c r="S45" s="115"/>
      <c r="T45" s="115"/>
      <c r="U45" s="115"/>
      <c r="V45" s="115"/>
      <c r="W45" s="115"/>
    </row>
    <row r="46" spans="1:23">
      <c r="A46" s="174"/>
    </row>
    <row r="47" spans="1:23" s="6" customFormat="1" ht="12.75" customHeight="1" outlineLevel="1">
      <c r="A47" s="174"/>
      <c r="B47" s="76"/>
      <c r="C47" s="77"/>
      <c r="D47" s="76"/>
      <c r="E47" s="80" t="s">
        <v>178</v>
      </c>
      <c r="F47" s="316" t="s">
        <v>438</v>
      </c>
      <c r="G47" s="317" t="s">
        <v>179</v>
      </c>
      <c r="H47" s="317" t="s">
        <v>166</v>
      </c>
      <c r="I47" s="175"/>
      <c r="J47" s="79"/>
      <c r="K47" s="79"/>
      <c r="L47" s="79"/>
      <c r="M47" s="79"/>
      <c r="N47" s="79"/>
      <c r="O47" s="79"/>
      <c r="P47" s="79"/>
      <c r="Q47" s="79"/>
      <c r="R47" s="79"/>
      <c r="S47" s="79"/>
      <c r="T47" s="78"/>
      <c r="U47" s="79"/>
      <c r="V47" s="79"/>
      <c r="W47" s="79"/>
    </row>
    <row r="48" spans="1:23" outlineLevel="1">
      <c r="A48" s="174"/>
      <c r="F48" s="109"/>
      <c r="G48" s="109"/>
      <c r="H48" s="109"/>
      <c r="I48" s="109"/>
      <c r="J48" s="109"/>
      <c r="K48" s="109"/>
      <c r="L48" s="109"/>
      <c r="M48" s="109"/>
      <c r="N48" s="109"/>
      <c r="O48" s="109"/>
      <c r="P48" s="109"/>
      <c r="Q48" s="109"/>
      <c r="R48" s="109"/>
      <c r="S48" s="109"/>
      <c r="T48" s="109"/>
      <c r="U48" s="109"/>
      <c r="V48" s="109"/>
      <c r="W48" s="109"/>
    </row>
    <row r="49" spans="1:23" s="6" customFormat="1" ht="12.75" customHeight="1" outlineLevel="1">
      <c r="A49" s="174"/>
      <c r="B49" s="76"/>
      <c r="C49" s="77"/>
      <c r="D49" s="76"/>
      <c r="E49" s="80" t="s">
        <v>180</v>
      </c>
      <c r="F49" s="318" t="s">
        <v>109</v>
      </c>
      <c r="G49" s="317" t="s">
        <v>179</v>
      </c>
      <c r="H49" s="317" t="s">
        <v>166</v>
      </c>
      <c r="I49" s="175"/>
      <c r="J49" s="79"/>
      <c r="K49" s="79"/>
      <c r="L49" s="79"/>
      <c r="M49" s="79"/>
      <c r="N49" s="79"/>
      <c r="O49" s="79"/>
      <c r="P49" s="79"/>
      <c r="Q49" s="79"/>
      <c r="R49" s="79"/>
      <c r="S49" s="79"/>
      <c r="T49" s="78"/>
      <c r="U49" s="79"/>
      <c r="V49" s="79"/>
      <c r="W49" s="79"/>
    </row>
    <row r="50" spans="1:23" outlineLevel="1">
      <c r="A50" s="174"/>
      <c r="F50" s="109"/>
      <c r="G50" s="109"/>
      <c r="H50" s="109"/>
      <c r="I50" s="109"/>
      <c r="J50" s="109"/>
      <c r="K50" s="109"/>
      <c r="L50" s="109"/>
      <c r="M50" s="109"/>
      <c r="N50" s="109"/>
      <c r="O50" s="109"/>
      <c r="P50" s="109"/>
      <c r="Q50" s="109"/>
      <c r="R50" s="109"/>
      <c r="S50" s="109"/>
      <c r="T50" s="109"/>
      <c r="U50" s="109"/>
      <c r="V50" s="109"/>
      <c r="W50" s="109"/>
    </row>
    <row r="51" spans="1:23" ht="12.75" customHeight="1">
      <c r="A51" s="115" t="s">
        <v>181</v>
      </c>
      <c r="B51" s="115"/>
      <c r="C51" s="114"/>
      <c r="D51" s="115"/>
      <c r="E51" s="115"/>
      <c r="F51" s="115"/>
      <c r="G51" s="115"/>
      <c r="H51" s="115"/>
      <c r="I51" s="115"/>
      <c r="J51" s="115"/>
      <c r="K51" s="115"/>
      <c r="L51" s="115"/>
      <c r="M51" s="115"/>
      <c r="N51" s="115"/>
      <c r="O51" s="115"/>
      <c r="P51" s="115"/>
      <c r="Q51" s="115"/>
      <c r="R51" s="115"/>
      <c r="S51" s="115"/>
      <c r="T51" s="115"/>
      <c r="U51" s="115"/>
      <c r="V51" s="115"/>
      <c r="W51" s="115"/>
    </row>
    <row r="52" spans="1:23" s="6" customFormat="1">
      <c r="A52" s="174"/>
      <c r="B52" s="64"/>
      <c r="C52" s="62"/>
      <c r="D52" s="101"/>
      <c r="E52" s="101"/>
      <c r="F52" s="58"/>
      <c r="G52" s="58"/>
      <c r="H52" s="58"/>
      <c r="I52" s="58"/>
      <c r="J52" s="58"/>
      <c r="K52" s="58"/>
      <c r="L52" s="58"/>
      <c r="M52" s="58"/>
      <c r="N52" s="58"/>
      <c r="O52" s="58"/>
      <c r="P52" s="58"/>
      <c r="Q52" s="58"/>
      <c r="R52" s="58"/>
      <c r="S52" s="58"/>
      <c r="T52" s="58"/>
      <c r="U52" s="58"/>
      <c r="V52" s="58"/>
      <c r="W52" s="58"/>
    </row>
    <row r="53" spans="1:23" outlineLevel="1">
      <c r="B53" s="99" t="s">
        <v>182</v>
      </c>
      <c r="C53" s="99"/>
      <c r="D53" s="100"/>
      <c r="E53" s="100"/>
      <c r="F53" s="109"/>
      <c r="G53" s="109"/>
      <c r="H53" s="58"/>
      <c r="I53" s="58"/>
      <c r="J53" s="106"/>
      <c r="K53" s="106"/>
      <c r="L53" s="106"/>
      <c r="M53" s="106"/>
      <c r="N53" s="106"/>
      <c r="O53" s="106"/>
      <c r="P53" s="106"/>
      <c r="Q53" s="106"/>
      <c r="R53" s="106"/>
      <c r="S53" s="106"/>
      <c r="T53" s="106"/>
      <c r="U53" s="106"/>
      <c r="V53" s="106"/>
      <c r="W53" s="106"/>
    </row>
    <row r="54" spans="1:23" s="6" customFormat="1" outlineLevel="1">
      <c r="A54" s="174"/>
      <c r="B54" s="64"/>
      <c r="C54" s="62"/>
      <c r="D54" s="101"/>
      <c r="E54" s="101"/>
      <c r="F54" s="58"/>
      <c r="G54" s="58"/>
      <c r="H54" s="58"/>
      <c r="I54" s="58"/>
      <c r="J54" s="58"/>
      <c r="K54" s="58"/>
      <c r="L54" s="58"/>
      <c r="M54" s="58"/>
      <c r="N54" s="58"/>
      <c r="O54" s="58"/>
      <c r="P54" s="58"/>
      <c r="Q54" s="58"/>
      <c r="R54" s="58"/>
      <c r="S54" s="58"/>
      <c r="T54" s="58"/>
      <c r="U54" s="58"/>
      <c r="V54" s="58"/>
      <c r="W54" s="58"/>
    </row>
    <row r="55" spans="1:23" s="6" customFormat="1" outlineLevel="1">
      <c r="A55" s="174"/>
      <c r="B55" s="64"/>
      <c r="C55" s="62" t="s">
        <v>183</v>
      </c>
      <c r="D55" s="101"/>
      <c r="E55" s="101"/>
      <c r="F55" s="58"/>
      <c r="G55" s="58"/>
      <c r="H55" s="58"/>
      <c r="I55" s="58"/>
      <c r="J55" s="58"/>
      <c r="K55" s="58"/>
      <c r="L55" s="58"/>
      <c r="M55" s="58"/>
      <c r="N55" s="58"/>
      <c r="O55" s="58"/>
      <c r="P55" s="58"/>
      <c r="Q55" s="58"/>
      <c r="R55" s="58"/>
      <c r="S55" s="58"/>
      <c r="T55" s="58"/>
      <c r="U55" s="58"/>
      <c r="V55" s="58"/>
      <c r="W55" s="58"/>
    </row>
    <row r="56" spans="1:23" s="6" customFormat="1" outlineLevel="1">
      <c r="A56" s="174"/>
      <c r="B56" s="64"/>
      <c r="C56" s="62"/>
      <c r="D56" s="101"/>
      <c r="E56" s="101"/>
      <c r="F56" s="58"/>
      <c r="G56" s="58"/>
      <c r="H56" s="58"/>
      <c r="I56" s="58"/>
      <c r="J56" s="58"/>
      <c r="K56" s="58"/>
      <c r="L56" s="58"/>
      <c r="M56" s="58"/>
      <c r="N56" s="58"/>
      <c r="O56" s="58"/>
      <c r="P56" s="58"/>
      <c r="Q56" s="58"/>
      <c r="R56" s="58"/>
      <c r="S56" s="58"/>
      <c r="T56" s="58"/>
      <c r="U56" s="58"/>
      <c r="V56" s="58"/>
      <c r="W56" s="58"/>
    </row>
    <row r="57" spans="1:23" s="6" customFormat="1" outlineLevel="1">
      <c r="A57" s="174"/>
      <c r="B57" s="64"/>
      <c r="C57" s="62"/>
      <c r="D57" s="101"/>
      <c r="E57" s="72" t="s">
        <v>184</v>
      </c>
      <c r="F57" s="319">
        <v>0.02</v>
      </c>
      <c r="G57" s="236" t="s">
        <v>173</v>
      </c>
      <c r="H57" s="58"/>
      <c r="I57" s="58"/>
      <c r="J57" s="58"/>
      <c r="K57" s="58"/>
      <c r="L57" s="58"/>
      <c r="M57" s="58"/>
      <c r="N57" s="58"/>
      <c r="O57" s="58"/>
      <c r="P57" s="58"/>
      <c r="Q57" s="58"/>
      <c r="R57" s="58"/>
      <c r="S57" s="58"/>
      <c r="T57" s="58"/>
      <c r="U57" s="58"/>
      <c r="V57" s="58"/>
      <c r="W57" s="58"/>
    </row>
    <row r="58" spans="1:23" s="6" customFormat="1" outlineLevel="1">
      <c r="A58" s="174"/>
      <c r="B58" s="64"/>
      <c r="C58" s="62"/>
      <c r="D58" s="101"/>
      <c r="E58" s="74"/>
      <c r="F58" s="145"/>
      <c r="G58" s="109"/>
      <c r="H58" s="58"/>
      <c r="I58" s="58"/>
      <c r="J58" s="58"/>
      <c r="K58" s="58"/>
      <c r="L58" s="58"/>
      <c r="M58" s="58"/>
      <c r="N58" s="58"/>
      <c r="O58" s="58"/>
      <c r="P58" s="58"/>
      <c r="Q58" s="58"/>
      <c r="R58" s="58"/>
      <c r="S58" s="58"/>
      <c r="T58" s="58"/>
      <c r="U58" s="58"/>
      <c r="V58" s="58"/>
      <c r="W58" s="58"/>
    </row>
    <row r="59" spans="1:23" s="6" customFormat="1" outlineLevel="1">
      <c r="A59" s="174"/>
      <c r="B59" s="64"/>
      <c r="C59" s="62"/>
      <c r="D59" s="101"/>
      <c r="E59" s="74" t="s">
        <v>185</v>
      </c>
      <c r="F59" s="319">
        <v>0.03</v>
      </c>
      <c r="G59" s="109" t="s">
        <v>173</v>
      </c>
      <c r="H59" s="58"/>
      <c r="I59" s="58"/>
      <c r="J59" s="58"/>
      <c r="K59" s="58"/>
      <c r="L59" s="58"/>
      <c r="M59" s="58"/>
      <c r="N59" s="58"/>
      <c r="O59" s="58"/>
      <c r="P59" s="58"/>
      <c r="Q59" s="58"/>
      <c r="R59" s="58"/>
      <c r="S59" s="58"/>
      <c r="T59" s="58"/>
      <c r="U59" s="58"/>
      <c r="V59" s="58"/>
      <c r="W59" s="58"/>
    </row>
    <row r="60" spans="1:23" s="6" customFormat="1" outlineLevel="1">
      <c r="A60" s="174"/>
      <c r="B60" s="64"/>
      <c r="C60" s="62"/>
      <c r="D60" s="101"/>
      <c r="E60" s="74"/>
      <c r="F60" s="145"/>
      <c r="G60" s="109"/>
      <c r="H60" s="58"/>
      <c r="I60" s="58"/>
      <c r="J60" s="58"/>
      <c r="K60" s="58"/>
      <c r="L60" s="58"/>
      <c r="M60" s="58"/>
      <c r="N60" s="58"/>
      <c r="O60" s="58"/>
      <c r="P60" s="58"/>
      <c r="Q60" s="58"/>
      <c r="R60" s="58"/>
      <c r="S60" s="58"/>
      <c r="T60" s="58"/>
      <c r="U60" s="58"/>
      <c r="V60" s="58"/>
      <c r="W60" s="58"/>
    </row>
    <row r="61" spans="1:23" s="6" customFormat="1" outlineLevel="1">
      <c r="A61" s="174"/>
      <c r="B61" s="64"/>
      <c r="C61" s="62"/>
      <c r="D61" s="101"/>
      <c r="E61" s="74" t="s">
        <v>186</v>
      </c>
      <c r="F61" s="319">
        <v>0.03</v>
      </c>
      <c r="G61" s="109" t="s">
        <v>173</v>
      </c>
      <c r="H61" s="58"/>
      <c r="I61" s="58"/>
      <c r="J61" s="58"/>
      <c r="K61" s="58"/>
      <c r="L61" s="58"/>
      <c r="M61" s="58"/>
      <c r="N61" s="58"/>
      <c r="O61" s="58"/>
      <c r="P61" s="58"/>
      <c r="Q61" s="58"/>
      <c r="R61" s="58"/>
      <c r="S61" s="58"/>
      <c r="T61" s="58"/>
      <c r="U61" s="58"/>
      <c r="V61" s="58"/>
      <c r="W61" s="58"/>
    </row>
    <row r="62" spans="1:23" s="6" customFormat="1" outlineLevel="1">
      <c r="A62" s="174"/>
      <c r="B62" s="64"/>
      <c r="C62" s="62"/>
      <c r="D62" s="101"/>
      <c r="E62" s="129"/>
      <c r="F62" s="145"/>
      <c r="G62" s="58"/>
      <c r="H62" s="58"/>
      <c r="I62" s="58"/>
      <c r="J62" s="58"/>
      <c r="K62" s="58"/>
      <c r="L62" s="58"/>
      <c r="M62" s="58"/>
      <c r="N62" s="58"/>
      <c r="O62" s="58"/>
      <c r="P62" s="58"/>
      <c r="Q62" s="58"/>
      <c r="R62" s="58"/>
      <c r="S62" s="58"/>
      <c r="T62" s="58"/>
      <c r="U62" s="58"/>
      <c r="V62" s="58"/>
      <c r="W62" s="58"/>
    </row>
    <row r="63" spans="1:23" s="6" customFormat="1" outlineLevel="1">
      <c r="A63" s="174"/>
      <c r="B63" s="64"/>
      <c r="C63" s="62"/>
      <c r="D63" s="101"/>
      <c r="E63" s="74" t="s">
        <v>187</v>
      </c>
      <c r="F63" s="333">
        <v>2.92E-2</v>
      </c>
      <c r="G63" s="82" t="s">
        <v>173</v>
      </c>
      <c r="H63" s="58"/>
      <c r="I63" s="58"/>
      <c r="J63" s="58"/>
      <c r="K63" s="58"/>
      <c r="L63" s="58"/>
      <c r="M63" s="58"/>
      <c r="N63" s="58"/>
      <c r="O63" s="58"/>
      <c r="P63" s="58"/>
      <c r="Q63" s="58"/>
      <c r="R63" s="58"/>
      <c r="S63" s="58"/>
      <c r="T63" s="58"/>
      <c r="U63" s="58"/>
      <c r="V63" s="58"/>
      <c r="W63" s="58"/>
    </row>
    <row r="64" spans="1:23" s="6" customFormat="1" outlineLevel="1">
      <c r="A64" s="174"/>
      <c r="B64" s="64"/>
      <c r="C64" s="62"/>
      <c r="D64" s="101"/>
      <c r="E64" s="129"/>
      <c r="F64" s="145"/>
      <c r="G64" s="58"/>
      <c r="H64" s="58"/>
      <c r="I64" s="58"/>
      <c r="J64" s="58"/>
      <c r="K64" s="58"/>
      <c r="L64" s="58"/>
      <c r="M64" s="58"/>
      <c r="N64" s="58"/>
      <c r="O64" s="58"/>
      <c r="P64" s="58"/>
      <c r="Q64" s="58"/>
      <c r="R64" s="58"/>
      <c r="S64" s="58"/>
      <c r="T64" s="58"/>
      <c r="U64" s="58"/>
      <c r="V64" s="58"/>
      <c r="W64" s="58"/>
    </row>
    <row r="65" spans="1:23" s="6" customFormat="1" outlineLevel="1">
      <c r="A65" s="174"/>
      <c r="B65" s="64"/>
      <c r="C65" s="62"/>
      <c r="D65" s="101"/>
      <c r="E65" s="74" t="s">
        <v>188</v>
      </c>
      <c r="F65" s="319">
        <v>0.06</v>
      </c>
      <c r="G65" s="109" t="s">
        <v>173</v>
      </c>
      <c r="H65" s="58"/>
      <c r="I65" s="58"/>
      <c r="J65" s="58"/>
      <c r="K65" s="58"/>
      <c r="L65" s="58"/>
      <c r="M65" s="58"/>
      <c r="N65" s="58"/>
      <c r="O65" s="58"/>
      <c r="P65" s="58"/>
      <c r="Q65" s="58"/>
      <c r="R65" s="58"/>
      <c r="S65" s="58"/>
      <c r="T65" s="58"/>
      <c r="U65" s="58"/>
      <c r="V65" s="58"/>
      <c r="W65" s="58"/>
    </row>
    <row r="66" spans="1:23" s="6" customFormat="1" outlineLevel="1">
      <c r="A66" s="174"/>
      <c r="B66" s="64"/>
      <c r="C66" s="62"/>
      <c r="D66" s="101"/>
      <c r="E66" s="129"/>
      <c r="F66" s="145"/>
      <c r="G66" s="58"/>
      <c r="H66" s="58"/>
      <c r="I66" s="58"/>
      <c r="J66" s="58"/>
      <c r="K66" s="58"/>
      <c r="L66" s="58"/>
      <c r="M66" s="58"/>
      <c r="N66" s="58"/>
      <c r="O66" s="58"/>
      <c r="P66" s="58"/>
      <c r="Q66" s="58"/>
      <c r="R66" s="58"/>
      <c r="S66" s="58"/>
      <c r="T66" s="58"/>
      <c r="U66" s="58"/>
      <c r="V66" s="58"/>
      <c r="W66" s="58"/>
    </row>
    <row r="67" spans="1:23" s="6" customFormat="1" outlineLevel="1">
      <c r="A67" s="174"/>
      <c r="B67" s="64"/>
      <c r="C67" s="62" t="s">
        <v>189</v>
      </c>
      <c r="D67" s="101"/>
      <c r="E67" s="129"/>
      <c r="F67" s="145"/>
      <c r="G67" s="58"/>
      <c r="H67" s="58"/>
      <c r="I67" s="58"/>
      <c r="J67" s="58"/>
      <c r="K67" s="58"/>
      <c r="L67" s="58"/>
      <c r="M67" s="58"/>
      <c r="N67" s="58"/>
      <c r="O67" s="58"/>
      <c r="P67" s="58"/>
      <c r="Q67" s="58"/>
      <c r="R67" s="58"/>
      <c r="S67" s="58"/>
      <c r="T67" s="58"/>
      <c r="U67" s="58"/>
      <c r="V67" s="58"/>
      <c r="W67" s="58"/>
    </row>
    <row r="68" spans="1:23" s="6" customFormat="1" outlineLevel="1">
      <c r="A68" s="174"/>
      <c r="B68" s="64"/>
      <c r="C68" s="62"/>
      <c r="D68" s="101"/>
      <c r="E68" s="129"/>
      <c r="F68" s="145"/>
      <c r="G68" s="58"/>
      <c r="H68" s="58"/>
      <c r="I68" s="58"/>
      <c r="J68" s="58"/>
      <c r="K68" s="58"/>
      <c r="L68" s="58"/>
      <c r="M68" s="58"/>
      <c r="N68" s="58"/>
      <c r="O68" s="58"/>
      <c r="P68" s="58"/>
      <c r="Q68" s="58"/>
      <c r="R68" s="58"/>
      <c r="S68" s="58"/>
      <c r="T68" s="58"/>
      <c r="U68" s="58"/>
      <c r="V68" s="58"/>
      <c r="W68" s="58"/>
    </row>
    <row r="69" spans="1:23" s="6" customFormat="1" outlineLevel="1">
      <c r="A69" s="174"/>
      <c r="B69" s="64"/>
      <c r="C69" s="62"/>
      <c r="D69" s="101"/>
      <c r="E69" s="74" t="s">
        <v>189</v>
      </c>
      <c r="F69" s="312">
        <v>2</v>
      </c>
      <c r="G69" s="82" t="s">
        <v>190</v>
      </c>
      <c r="H69" s="58"/>
      <c r="I69" s="58"/>
      <c r="J69" s="58"/>
      <c r="K69" s="58"/>
      <c r="L69" s="58"/>
      <c r="M69" s="58"/>
      <c r="N69" s="58"/>
      <c r="O69" s="58"/>
      <c r="P69" s="58"/>
      <c r="Q69" s="58"/>
      <c r="R69" s="58"/>
      <c r="S69" s="58"/>
      <c r="T69" s="58"/>
      <c r="U69" s="58"/>
      <c r="V69" s="58"/>
      <c r="W69" s="58"/>
    </row>
    <row r="70" spans="1:23" s="6" customFormat="1" outlineLevel="1">
      <c r="A70" s="174"/>
      <c r="B70" s="64"/>
      <c r="C70" s="62"/>
      <c r="D70" s="101"/>
      <c r="E70" s="129"/>
      <c r="F70" s="145"/>
      <c r="G70" s="58"/>
      <c r="H70" s="58"/>
      <c r="I70" s="58"/>
      <c r="J70" s="58"/>
      <c r="K70" s="58"/>
      <c r="L70" s="58"/>
      <c r="M70" s="58"/>
      <c r="N70" s="58"/>
      <c r="O70" s="58"/>
      <c r="P70" s="58"/>
      <c r="Q70" s="58"/>
      <c r="R70" s="58"/>
      <c r="S70" s="58"/>
      <c r="T70" s="58"/>
      <c r="U70" s="58"/>
      <c r="V70" s="58"/>
      <c r="W70" s="58"/>
    </row>
    <row r="71" spans="1:23" ht="12.75" customHeight="1">
      <c r="A71" s="115" t="s">
        <v>191</v>
      </c>
      <c r="B71" s="115"/>
      <c r="C71" s="114"/>
      <c r="D71" s="115"/>
      <c r="E71" s="115"/>
      <c r="F71" s="115"/>
      <c r="G71" s="115"/>
      <c r="H71" s="115"/>
      <c r="I71" s="115"/>
      <c r="J71" s="115"/>
      <c r="K71" s="115"/>
      <c r="L71" s="115"/>
      <c r="M71" s="115"/>
      <c r="N71" s="115"/>
      <c r="O71" s="115"/>
      <c r="P71" s="115"/>
      <c r="Q71" s="115"/>
      <c r="R71" s="115"/>
      <c r="S71" s="115"/>
      <c r="T71" s="115"/>
      <c r="U71" s="115"/>
      <c r="V71" s="115"/>
      <c r="W71" s="115"/>
    </row>
    <row r="72" spans="1:23">
      <c r="B72" s="160"/>
      <c r="C72" s="62"/>
      <c r="D72" s="101"/>
      <c r="F72" s="109"/>
      <c r="G72" s="109"/>
      <c r="H72" s="109"/>
      <c r="I72" s="109"/>
      <c r="J72" s="106"/>
      <c r="K72" s="106"/>
      <c r="L72" s="106"/>
      <c r="M72" s="106"/>
      <c r="N72" s="106"/>
      <c r="O72" s="106"/>
      <c r="P72" s="106"/>
      <c r="Q72" s="106"/>
      <c r="R72" s="106"/>
      <c r="S72" s="106"/>
      <c r="T72" s="106"/>
      <c r="U72" s="106"/>
      <c r="V72" s="106"/>
      <c r="W72" s="106"/>
    </row>
    <row r="73" spans="1:23" outlineLevel="1">
      <c r="B73" s="99" t="s">
        <v>192</v>
      </c>
      <c r="C73" s="99"/>
      <c r="D73" s="100"/>
      <c r="E73" s="100"/>
      <c r="F73" s="109"/>
      <c r="G73" s="109"/>
      <c r="H73" s="58"/>
      <c r="I73" s="58"/>
      <c r="J73" s="106"/>
      <c r="K73" s="106"/>
      <c r="L73" s="106"/>
      <c r="M73" s="106"/>
      <c r="N73" s="106"/>
      <c r="O73" s="106"/>
      <c r="P73" s="106"/>
      <c r="Q73" s="106"/>
      <c r="R73" s="106"/>
      <c r="S73" s="106"/>
      <c r="T73" s="106"/>
      <c r="U73" s="106"/>
      <c r="V73" s="106"/>
      <c r="W73" s="106"/>
    </row>
    <row r="74" spans="1:23" outlineLevel="1">
      <c r="B74" s="160"/>
      <c r="C74" s="62"/>
      <c r="D74" s="101"/>
      <c r="F74" s="109"/>
      <c r="G74" s="109"/>
      <c r="H74" s="109"/>
      <c r="I74" s="109"/>
      <c r="J74" s="106"/>
      <c r="K74" s="106"/>
      <c r="L74" s="106"/>
      <c r="M74" s="106"/>
      <c r="N74" s="106"/>
      <c r="O74" s="106"/>
      <c r="P74" s="106"/>
      <c r="Q74" s="106"/>
      <c r="R74" s="106"/>
      <c r="S74" s="106"/>
      <c r="T74" s="106"/>
      <c r="U74" s="106"/>
      <c r="V74" s="106"/>
      <c r="W74" s="106"/>
    </row>
    <row r="75" spans="1:23" outlineLevel="1">
      <c r="B75" s="160"/>
      <c r="C75" s="62"/>
      <c r="D75" s="101"/>
      <c r="E75" s="74" t="s">
        <v>193</v>
      </c>
      <c r="F75" s="334">
        <v>89.768007721145906</v>
      </c>
      <c r="G75" s="82" t="s">
        <v>97</v>
      </c>
      <c r="H75" s="82"/>
      <c r="I75" s="82"/>
      <c r="J75" s="335"/>
      <c r="K75" s="335"/>
      <c r="L75" s="335"/>
      <c r="M75" s="335"/>
      <c r="N75" s="335"/>
      <c r="O75" s="335"/>
      <c r="P75" s="335"/>
      <c r="Q75" s="335"/>
      <c r="R75" s="335"/>
      <c r="S75" s="335"/>
      <c r="T75" s="335"/>
      <c r="U75" s="335"/>
      <c r="V75" s="335"/>
      <c r="W75" s="335"/>
    </row>
    <row r="76" spans="1:23" s="6" customFormat="1" outlineLevel="1">
      <c r="A76" s="64"/>
      <c r="B76" s="90"/>
      <c r="C76" s="62"/>
      <c r="D76" s="101"/>
      <c r="E76" s="129"/>
      <c r="F76" s="276"/>
      <c r="G76" s="153"/>
      <c r="H76" s="153"/>
      <c r="I76" s="153"/>
      <c r="J76" s="276"/>
      <c r="K76" s="276"/>
      <c r="L76" s="276"/>
      <c r="M76" s="276"/>
      <c r="N76" s="276"/>
      <c r="O76" s="276"/>
      <c r="P76" s="276"/>
      <c r="Q76" s="276"/>
      <c r="R76" s="276"/>
      <c r="S76" s="276"/>
      <c r="T76" s="276"/>
      <c r="U76" s="276"/>
      <c r="V76" s="276"/>
      <c r="W76" s="276"/>
    </row>
    <row r="77" spans="1:23" s="6" customFormat="1" outlineLevel="1">
      <c r="A77" s="64"/>
      <c r="B77" s="90"/>
      <c r="C77" s="62"/>
      <c r="D77" s="101"/>
      <c r="E77" s="129" t="s">
        <v>194</v>
      </c>
      <c r="F77" s="276"/>
      <c r="G77" s="82" t="s">
        <v>97</v>
      </c>
      <c r="H77" s="335">
        <f>SUM(J77:W77)</f>
        <v>0</v>
      </c>
      <c r="I77" s="153"/>
      <c r="J77" s="276"/>
      <c r="K77" s="276"/>
      <c r="L77" s="276"/>
      <c r="M77" s="276"/>
      <c r="N77" s="276"/>
      <c r="O77" s="276"/>
      <c r="P77" s="276"/>
      <c r="Q77" s="276"/>
      <c r="R77" s="334"/>
      <c r="S77" s="334"/>
      <c r="T77" s="334"/>
      <c r="U77" s="276"/>
      <c r="V77" s="276"/>
      <c r="W77" s="276"/>
    </row>
    <row r="78" spans="1:23" s="6" customFormat="1" outlineLevel="1">
      <c r="A78" s="64"/>
      <c r="B78" s="90"/>
      <c r="C78" s="62"/>
      <c r="D78" s="101"/>
      <c r="E78" s="129"/>
      <c r="F78" s="276"/>
      <c r="G78" s="153"/>
      <c r="H78" s="153"/>
      <c r="I78" s="153"/>
      <c r="J78" s="276"/>
      <c r="K78" s="276"/>
      <c r="L78" s="276"/>
      <c r="M78" s="276"/>
      <c r="N78" s="276"/>
      <c r="O78" s="276"/>
      <c r="P78" s="276"/>
      <c r="Q78" s="276"/>
      <c r="R78" s="276"/>
      <c r="S78" s="276"/>
      <c r="T78" s="276"/>
      <c r="U78" s="276"/>
      <c r="V78" s="276"/>
      <c r="W78" s="276"/>
    </row>
    <row r="79" spans="1:23" s="6" customFormat="1" outlineLevel="1">
      <c r="A79" s="64"/>
      <c r="B79" s="90"/>
      <c r="C79" s="62"/>
      <c r="D79" s="101"/>
      <c r="E79" s="129" t="s">
        <v>195</v>
      </c>
      <c r="F79" s="276"/>
      <c r="G79" s="153" t="s">
        <v>105</v>
      </c>
      <c r="H79" s="335">
        <f>SUM(J79:W79)</f>
        <v>6.58</v>
      </c>
      <c r="I79" s="153"/>
      <c r="J79" s="276"/>
      <c r="K79" s="276"/>
      <c r="L79" s="276"/>
      <c r="M79" s="276"/>
      <c r="N79" s="276"/>
      <c r="O79" s="276"/>
      <c r="P79" s="334">
        <v>0</v>
      </c>
      <c r="Q79" s="334">
        <v>3.9</v>
      </c>
      <c r="R79" s="334">
        <v>-1.02</v>
      </c>
      <c r="S79" s="334">
        <v>0.55000000000000004</v>
      </c>
      <c r="T79" s="334">
        <v>3.15</v>
      </c>
      <c r="U79" s="276"/>
      <c r="V79" s="276"/>
      <c r="W79" s="276"/>
    </row>
    <row r="80" spans="1:23" s="6" customFormat="1" outlineLevel="1">
      <c r="A80" s="64"/>
      <c r="B80" s="90"/>
      <c r="C80" s="62"/>
      <c r="D80" s="101"/>
      <c r="E80" s="129"/>
      <c r="F80" s="276"/>
      <c r="G80" s="153"/>
      <c r="H80" s="153"/>
      <c r="I80" s="153"/>
      <c r="J80" s="335"/>
      <c r="K80" s="335"/>
      <c r="L80" s="335"/>
      <c r="M80" s="335"/>
      <c r="N80" s="335"/>
      <c r="O80" s="335"/>
      <c r="P80" s="335"/>
      <c r="Q80" s="335"/>
      <c r="R80" s="335"/>
      <c r="S80" s="335"/>
      <c r="T80" s="335"/>
      <c r="U80" s="335"/>
      <c r="V80" s="335"/>
      <c r="W80" s="335"/>
    </row>
    <row r="81" spans="1:23" s="6" customFormat="1" ht="12.75" customHeight="1" outlineLevel="1">
      <c r="A81" s="64"/>
      <c r="B81" s="64"/>
      <c r="C81" s="62"/>
      <c r="D81" s="159"/>
      <c r="E81" s="129" t="s">
        <v>196</v>
      </c>
      <c r="F81" s="153"/>
      <c r="G81" s="153" t="s">
        <v>97</v>
      </c>
      <c r="H81" s="335">
        <f>SUM(J81:W81)</f>
        <v>395.238</v>
      </c>
      <c r="I81" s="153"/>
      <c r="J81" s="276"/>
      <c r="K81" s="276"/>
      <c r="L81" s="276"/>
      <c r="M81" s="276"/>
      <c r="N81" s="276"/>
      <c r="O81" s="276"/>
      <c r="P81" s="334">
        <v>89.841999999999985</v>
      </c>
      <c r="Q81" s="334">
        <v>92.621000000000009</v>
      </c>
      <c r="R81" s="334">
        <v>97.995999999999995</v>
      </c>
      <c r="S81" s="334">
        <v>114.779</v>
      </c>
      <c r="T81" s="334"/>
      <c r="U81" s="276"/>
      <c r="V81" s="276"/>
      <c r="W81" s="276"/>
    </row>
    <row r="82" spans="1:23" s="6" customFormat="1" ht="12.75" customHeight="1" outlineLevel="1">
      <c r="A82" s="64"/>
      <c r="B82" s="64"/>
      <c r="C82" s="62"/>
      <c r="D82" s="159"/>
      <c r="E82" s="129"/>
      <c r="F82" s="153"/>
      <c r="G82" s="153"/>
      <c r="H82" s="153"/>
      <c r="I82" s="153"/>
      <c r="J82" s="276"/>
      <c r="K82" s="276"/>
      <c r="L82" s="276"/>
      <c r="M82" s="276"/>
      <c r="N82" s="276"/>
      <c r="O82" s="276"/>
      <c r="P82" s="276"/>
      <c r="Q82" s="276"/>
      <c r="R82" s="276"/>
      <c r="S82" s="276"/>
      <c r="T82" s="276"/>
      <c r="U82" s="276"/>
      <c r="V82" s="276"/>
      <c r="W82" s="276"/>
    </row>
    <row r="83" spans="1:23" outlineLevel="1">
      <c r="B83" s="99" t="s">
        <v>197</v>
      </c>
      <c r="C83" s="99"/>
      <c r="D83" s="100"/>
      <c r="E83" s="100"/>
      <c r="F83" s="82"/>
      <c r="G83" s="82"/>
      <c r="H83" s="153"/>
      <c r="I83" s="153"/>
      <c r="J83" s="335"/>
      <c r="K83" s="335"/>
      <c r="L83" s="335"/>
      <c r="M83" s="335"/>
      <c r="N83" s="335"/>
      <c r="O83" s="335"/>
      <c r="P83" s="335"/>
      <c r="Q83" s="335"/>
      <c r="R83" s="335"/>
      <c r="S83" s="335"/>
      <c r="T83" s="335"/>
      <c r="U83" s="335"/>
      <c r="V83" s="335"/>
      <c r="W83" s="335"/>
    </row>
    <row r="84" spans="1:23" s="6" customFormat="1" ht="12.75" customHeight="1" outlineLevel="1">
      <c r="A84" s="64"/>
      <c r="B84" s="64"/>
      <c r="C84" s="62"/>
      <c r="D84" s="159"/>
      <c r="E84" s="129"/>
      <c r="F84" s="153"/>
      <c r="G84" s="153"/>
      <c r="H84" s="153"/>
      <c r="I84" s="153"/>
      <c r="J84" s="276"/>
      <c r="K84" s="276"/>
      <c r="L84" s="276"/>
      <c r="M84" s="276"/>
      <c r="N84" s="276"/>
      <c r="O84" s="276"/>
      <c r="P84" s="276"/>
      <c r="Q84" s="276"/>
      <c r="R84" s="276"/>
      <c r="S84" s="276"/>
      <c r="T84" s="276"/>
      <c r="U84" s="276"/>
      <c r="V84" s="276"/>
      <c r="W84" s="276"/>
    </row>
    <row r="85" spans="1:23" s="6" customFormat="1" ht="12.75" customHeight="1" outlineLevel="1">
      <c r="A85" s="64"/>
      <c r="B85" s="64"/>
      <c r="C85" s="62"/>
      <c r="D85" s="159"/>
      <c r="E85" s="74" t="s">
        <v>198</v>
      </c>
      <c r="F85" s="334">
        <f xml:space="preserve"> -0.001 * N35 / L35</f>
        <v>-1.0500982318271122E-3</v>
      </c>
      <c r="G85" s="82" t="s">
        <v>97</v>
      </c>
      <c r="H85" s="153"/>
      <c r="I85" s="153"/>
      <c r="J85" s="276"/>
      <c r="K85" s="276"/>
      <c r="L85" s="276"/>
      <c r="M85" s="276"/>
      <c r="N85" s="276"/>
      <c r="O85" s="276"/>
      <c r="P85" s="276"/>
      <c r="Q85" s="276"/>
      <c r="R85" s="276"/>
      <c r="S85" s="276"/>
      <c r="T85" s="276"/>
      <c r="U85" s="276"/>
      <c r="V85" s="276"/>
      <c r="W85" s="276"/>
    </row>
    <row r="86" spans="1:23" s="6" customFormat="1" ht="12.75" customHeight="1" outlineLevel="1">
      <c r="A86" s="64"/>
      <c r="B86" s="64"/>
      <c r="C86" s="62"/>
      <c r="D86" s="159"/>
      <c r="E86" s="74"/>
      <c r="F86" s="276"/>
      <c r="G86" s="82"/>
      <c r="H86" s="153"/>
      <c r="I86" s="153"/>
      <c r="J86" s="276"/>
      <c r="K86" s="276"/>
      <c r="L86" s="276"/>
      <c r="M86" s="276"/>
      <c r="N86" s="276"/>
      <c r="O86" s="276"/>
      <c r="P86" s="276"/>
      <c r="Q86" s="276"/>
      <c r="R86" s="276"/>
      <c r="S86" s="276"/>
      <c r="T86" s="276"/>
      <c r="U86" s="276"/>
      <c r="V86" s="276"/>
      <c r="W86" s="276"/>
    </row>
    <row r="87" spans="1:23" s="6" customFormat="1" ht="12.75" customHeight="1" outlineLevel="1">
      <c r="A87" s="64"/>
      <c r="B87" s="64"/>
      <c r="C87" s="62"/>
      <c r="D87" s="159"/>
      <c r="E87" s="74" t="s">
        <v>199</v>
      </c>
      <c r="F87" s="276"/>
      <c r="G87" s="82" t="s">
        <v>173</v>
      </c>
      <c r="H87" s="336">
        <f>SUM(J87:W87)</f>
        <v>1</v>
      </c>
      <c r="I87" s="153"/>
      <c r="J87" s="276"/>
      <c r="K87" s="276"/>
      <c r="L87" s="276"/>
      <c r="M87" s="276"/>
      <c r="N87" s="276"/>
      <c r="O87" s="276"/>
      <c r="P87" s="276"/>
      <c r="Q87" s="337">
        <v>0</v>
      </c>
      <c r="R87" s="337">
        <v>0</v>
      </c>
      <c r="S87" s="337">
        <v>0</v>
      </c>
      <c r="T87" s="337">
        <v>1</v>
      </c>
      <c r="U87" s="276"/>
      <c r="V87" s="276"/>
      <c r="W87" s="276"/>
    </row>
    <row r="88" spans="1:23" s="6" customFormat="1" ht="12.75" customHeight="1" outlineLevel="1">
      <c r="A88" s="64"/>
      <c r="B88" s="64"/>
      <c r="C88" s="62"/>
      <c r="D88" s="159"/>
      <c r="E88" s="74"/>
      <c r="F88" s="276"/>
      <c r="G88" s="82"/>
      <c r="H88" s="336"/>
      <c r="I88" s="153"/>
      <c r="J88" s="276"/>
      <c r="K88" s="276"/>
      <c r="L88" s="276"/>
      <c r="M88" s="276"/>
      <c r="N88" s="276"/>
      <c r="O88" s="276"/>
      <c r="P88" s="276"/>
      <c r="Q88" s="338"/>
      <c r="R88" s="338"/>
      <c r="S88" s="338"/>
      <c r="T88" s="338"/>
      <c r="U88" s="276"/>
      <c r="V88" s="276"/>
      <c r="W88" s="276"/>
    </row>
    <row r="89" spans="1:23" s="6" customFormat="1" ht="12.75" customHeight="1" outlineLevel="1">
      <c r="A89" s="64"/>
      <c r="B89" s="64"/>
      <c r="C89" s="62"/>
      <c r="D89" s="159"/>
      <c r="E89" s="129" t="s">
        <v>200</v>
      </c>
      <c r="F89" s="339">
        <f>IF(H87&gt;100%, 1, 0)</f>
        <v>0</v>
      </c>
      <c r="G89" s="82" t="s">
        <v>201</v>
      </c>
      <c r="H89" s="336"/>
      <c r="I89" s="153"/>
      <c r="J89" s="276"/>
      <c r="K89" s="276"/>
      <c r="L89" s="276"/>
      <c r="M89" s="276"/>
      <c r="N89" s="276"/>
      <c r="O89" s="276"/>
      <c r="P89" s="276"/>
      <c r="Q89" s="338"/>
      <c r="R89" s="338"/>
      <c r="S89" s="338"/>
      <c r="T89" s="338"/>
      <c r="U89" s="276"/>
      <c r="V89" s="276"/>
      <c r="W89" s="276"/>
    </row>
    <row r="90" spans="1:23" s="6" customFormat="1" ht="12.75" customHeight="1" outlineLevel="1">
      <c r="A90" s="64"/>
      <c r="B90" s="64"/>
      <c r="C90" s="62"/>
      <c r="D90" s="159"/>
      <c r="E90" s="129"/>
      <c r="F90" s="153"/>
      <c r="G90" s="153"/>
      <c r="H90" s="153"/>
      <c r="I90" s="153"/>
      <c r="J90" s="276"/>
      <c r="K90" s="276"/>
      <c r="L90" s="276"/>
      <c r="M90" s="276"/>
      <c r="N90" s="276"/>
      <c r="O90" s="276"/>
      <c r="P90" s="276"/>
      <c r="Q90" s="276"/>
      <c r="R90" s="276"/>
      <c r="S90" s="276"/>
      <c r="T90" s="276"/>
      <c r="U90" s="276"/>
      <c r="V90" s="276"/>
      <c r="W90" s="276"/>
    </row>
    <row r="91" spans="1:23" ht="12.75" customHeight="1">
      <c r="A91" s="115" t="s">
        <v>202</v>
      </c>
      <c r="B91" s="115"/>
      <c r="C91" s="114"/>
      <c r="D91" s="115"/>
      <c r="E91" s="115"/>
      <c r="F91" s="340"/>
      <c r="G91" s="340"/>
      <c r="H91" s="340"/>
      <c r="I91" s="340"/>
      <c r="J91" s="340"/>
      <c r="K91" s="340"/>
      <c r="L91" s="340"/>
      <c r="M91" s="340"/>
      <c r="N91" s="340"/>
      <c r="O91" s="340"/>
      <c r="P91" s="340"/>
      <c r="Q91" s="340"/>
      <c r="R91" s="340"/>
      <c r="S91" s="340"/>
      <c r="T91" s="340"/>
      <c r="U91" s="340"/>
      <c r="V91" s="340"/>
      <c r="W91" s="340"/>
    </row>
    <row r="92" spans="1:23">
      <c r="B92" s="160"/>
      <c r="C92" s="62"/>
      <c r="D92" s="101"/>
      <c r="F92" s="82"/>
      <c r="G92" s="82"/>
      <c r="H92" s="82"/>
      <c r="I92" s="82"/>
      <c r="J92" s="335"/>
      <c r="K92" s="335"/>
      <c r="L92" s="335"/>
      <c r="M92" s="335"/>
      <c r="N92" s="335"/>
      <c r="O92" s="335"/>
      <c r="P92" s="335"/>
      <c r="Q92" s="335"/>
      <c r="R92" s="335"/>
      <c r="S92" s="335"/>
      <c r="T92" s="335"/>
      <c r="U92" s="335"/>
      <c r="V92" s="335"/>
      <c r="W92" s="335"/>
    </row>
    <row r="93" spans="1:23" outlineLevel="1">
      <c r="B93" s="99" t="s">
        <v>192</v>
      </c>
      <c r="C93" s="99"/>
      <c r="D93" s="100"/>
      <c r="E93" s="100"/>
      <c r="F93" s="82"/>
      <c r="G93" s="82"/>
      <c r="H93" s="153"/>
      <c r="I93" s="153"/>
      <c r="J93" s="335"/>
      <c r="K93" s="335"/>
      <c r="L93" s="335"/>
      <c r="M93" s="335"/>
      <c r="N93" s="335"/>
      <c r="O93" s="335"/>
      <c r="P93" s="335"/>
      <c r="Q93" s="335"/>
      <c r="R93" s="335"/>
      <c r="S93" s="335"/>
      <c r="T93" s="335"/>
      <c r="U93" s="335"/>
      <c r="V93" s="335"/>
      <c r="W93" s="335"/>
    </row>
    <row r="94" spans="1:23" outlineLevel="1">
      <c r="B94" s="160"/>
      <c r="C94" s="62"/>
      <c r="D94" s="101"/>
      <c r="F94" s="82"/>
      <c r="G94" s="82"/>
      <c r="H94" s="82"/>
      <c r="I94" s="82"/>
      <c r="J94" s="335"/>
      <c r="K94" s="335"/>
      <c r="L94" s="335"/>
      <c r="M94" s="335"/>
      <c r="N94" s="335"/>
      <c r="O94" s="335"/>
      <c r="P94" s="335"/>
      <c r="Q94" s="335"/>
      <c r="R94" s="335"/>
      <c r="S94" s="335"/>
      <c r="T94" s="335"/>
      <c r="U94" s="335"/>
      <c r="V94" s="335"/>
      <c r="W94" s="335"/>
    </row>
    <row r="95" spans="1:23" outlineLevel="1">
      <c r="B95" s="160"/>
      <c r="C95" s="62"/>
      <c r="D95" s="101"/>
      <c r="E95" s="74" t="s">
        <v>203</v>
      </c>
      <c r="F95" s="334">
        <v>820.81826854005897</v>
      </c>
      <c r="G95" s="82" t="s">
        <v>97</v>
      </c>
      <c r="H95" s="82"/>
      <c r="I95" s="82"/>
      <c r="J95" s="335"/>
      <c r="K95" s="335"/>
      <c r="L95" s="335"/>
      <c r="M95" s="335"/>
      <c r="N95" s="335"/>
      <c r="O95" s="335"/>
      <c r="P95" s="335"/>
      <c r="Q95" s="335"/>
      <c r="R95" s="335"/>
      <c r="S95" s="335"/>
      <c r="T95" s="335"/>
      <c r="U95" s="335"/>
      <c r="V95" s="335"/>
      <c r="W95" s="335"/>
    </row>
    <row r="96" spans="1:23" s="6" customFormat="1" outlineLevel="1">
      <c r="A96" s="64"/>
      <c r="B96" s="90"/>
      <c r="C96" s="62"/>
      <c r="D96" s="101"/>
      <c r="E96" s="129"/>
      <c r="F96" s="276"/>
      <c r="G96" s="153"/>
      <c r="H96" s="153"/>
      <c r="I96" s="153"/>
      <c r="J96" s="276"/>
      <c r="K96" s="276"/>
      <c r="L96" s="276"/>
      <c r="M96" s="276"/>
      <c r="N96" s="276"/>
      <c r="O96" s="276"/>
      <c r="P96" s="276"/>
      <c r="Q96" s="276"/>
      <c r="R96" s="276"/>
      <c r="S96" s="276"/>
      <c r="T96" s="276"/>
      <c r="U96" s="276"/>
      <c r="V96" s="276"/>
      <c r="W96" s="276"/>
    </row>
    <row r="97" spans="1:23" s="175" customFormat="1" outlineLevel="1">
      <c r="A97" s="64"/>
      <c r="B97" s="90"/>
      <c r="C97" s="62"/>
      <c r="D97" s="101"/>
      <c r="E97" s="129" t="s">
        <v>204</v>
      </c>
      <c r="F97" s="276"/>
      <c r="G97" s="153" t="s">
        <v>105</v>
      </c>
      <c r="H97" s="335">
        <f>SUM(J97:W97)</f>
        <v>1.58</v>
      </c>
      <c r="I97" s="153"/>
      <c r="J97" s="276"/>
      <c r="K97" s="276"/>
      <c r="L97" s="276"/>
      <c r="M97" s="276"/>
      <c r="N97" s="276"/>
      <c r="O97" s="276"/>
      <c r="P97" s="334">
        <v>0</v>
      </c>
      <c r="Q97" s="334">
        <v>7.44</v>
      </c>
      <c r="R97" s="334">
        <v>-2.34</v>
      </c>
      <c r="S97" s="334">
        <v>3.74</v>
      </c>
      <c r="T97" s="334">
        <v>-7.26</v>
      </c>
      <c r="U97" s="276"/>
      <c r="V97" s="276"/>
      <c r="W97" s="276"/>
    </row>
    <row r="98" spans="1:23" s="6" customFormat="1" outlineLevel="1">
      <c r="A98" s="64"/>
      <c r="B98" s="90"/>
      <c r="C98" s="62"/>
      <c r="D98" s="101"/>
      <c r="E98" s="129"/>
      <c r="F98" s="276"/>
      <c r="G98" s="153"/>
      <c r="H98" s="153"/>
      <c r="I98" s="153"/>
      <c r="J98" s="335"/>
      <c r="K98" s="335"/>
      <c r="L98" s="335"/>
      <c r="M98" s="335"/>
      <c r="N98" s="335"/>
      <c r="O98" s="335"/>
      <c r="P98" s="335"/>
      <c r="Q98" s="335"/>
      <c r="R98" s="335"/>
      <c r="S98" s="335"/>
      <c r="T98" s="335"/>
      <c r="U98" s="335"/>
      <c r="V98" s="335"/>
      <c r="W98" s="335"/>
    </row>
    <row r="99" spans="1:23" s="6" customFormat="1" ht="12.75" customHeight="1" outlineLevel="1">
      <c r="A99" s="64"/>
      <c r="B99" s="64"/>
      <c r="C99" s="62"/>
      <c r="D99" s="159"/>
      <c r="E99" s="129" t="s">
        <v>205</v>
      </c>
      <c r="F99" s="153"/>
      <c r="G99" s="153" t="s">
        <v>97</v>
      </c>
      <c r="H99" s="335">
        <f>SUM(J99:W99)</f>
        <v>3651.6423585985667</v>
      </c>
      <c r="I99" s="153"/>
      <c r="J99" s="276"/>
      <c r="K99" s="276"/>
      <c r="L99" s="276"/>
      <c r="M99" s="276"/>
      <c r="N99" s="276"/>
      <c r="O99" s="276"/>
      <c r="P99" s="334">
        <v>815.62100000000009</v>
      </c>
      <c r="Q99" s="334">
        <v>868.76199999999994</v>
      </c>
      <c r="R99" s="334">
        <v>911.63900000000001</v>
      </c>
      <c r="S99" s="334">
        <v>1055.6203585985668</v>
      </c>
      <c r="T99" s="334"/>
      <c r="U99" s="276"/>
      <c r="V99" s="276"/>
      <c r="W99" s="276"/>
    </row>
    <row r="100" spans="1:23" s="6" customFormat="1" ht="12.75" customHeight="1" outlineLevel="1">
      <c r="A100" s="64"/>
      <c r="B100" s="64"/>
      <c r="C100" s="62"/>
      <c r="D100" s="159"/>
      <c r="E100" s="129"/>
      <c r="F100" s="153"/>
      <c r="G100" s="153"/>
      <c r="H100" s="335"/>
      <c r="I100" s="153"/>
      <c r="J100" s="276"/>
      <c r="K100" s="276"/>
      <c r="L100" s="276"/>
      <c r="M100" s="276"/>
      <c r="N100" s="276"/>
      <c r="O100" s="276"/>
      <c r="P100" s="276"/>
      <c r="Q100" s="276"/>
      <c r="R100" s="276"/>
      <c r="S100" s="276"/>
      <c r="T100" s="276"/>
      <c r="U100" s="276"/>
      <c r="V100" s="276"/>
      <c r="W100" s="276"/>
    </row>
    <row r="101" spans="1:23" s="228" customFormat="1" ht="12.75" customHeight="1" outlineLevel="1">
      <c r="A101" s="271"/>
      <c r="B101" s="166"/>
      <c r="C101" s="167"/>
      <c r="D101" s="75"/>
      <c r="E101" s="153" t="s">
        <v>206</v>
      </c>
      <c r="F101" s="210"/>
      <c r="G101" s="153" t="s">
        <v>173</v>
      </c>
      <c r="H101" s="276"/>
      <c r="I101" s="153"/>
      <c r="J101" s="210"/>
      <c r="K101" s="210"/>
      <c r="L101" s="210"/>
      <c r="M101" s="210"/>
      <c r="N101" s="210"/>
      <c r="O101" s="210"/>
      <c r="P101" s="333">
        <v>1</v>
      </c>
      <c r="Q101" s="333">
        <v>1</v>
      </c>
      <c r="R101" s="333">
        <v>1</v>
      </c>
      <c r="S101" s="333">
        <v>1</v>
      </c>
      <c r="T101" s="333"/>
      <c r="U101" s="210"/>
      <c r="V101" s="210"/>
      <c r="W101" s="210"/>
    </row>
    <row r="102" spans="1:23" s="6" customFormat="1" ht="12.75" customHeight="1" outlineLevel="1">
      <c r="A102" s="64"/>
      <c r="B102" s="64"/>
      <c r="C102" s="62"/>
      <c r="D102" s="159"/>
      <c r="E102" s="129"/>
      <c r="F102" s="153"/>
      <c r="G102" s="153"/>
      <c r="H102" s="153"/>
      <c r="I102" s="153"/>
      <c r="J102" s="276"/>
      <c r="K102" s="276"/>
      <c r="L102" s="276"/>
      <c r="M102" s="276"/>
      <c r="N102" s="276"/>
      <c r="O102" s="276"/>
      <c r="P102" s="276"/>
      <c r="Q102" s="276"/>
      <c r="R102" s="276"/>
      <c r="S102" s="276"/>
      <c r="T102" s="276"/>
      <c r="U102" s="276"/>
      <c r="V102" s="276"/>
      <c r="W102" s="276"/>
    </row>
    <row r="103" spans="1:23" outlineLevel="1">
      <c r="B103" s="99" t="s">
        <v>197</v>
      </c>
      <c r="C103" s="99"/>
      <c r="D103" s="100"/>
      <c r="E103" s="100"/>
      <c r="F103" s="82"/>
      <c r="G103" s="82"/>
      <c r="H103" s="153"/>
      <c r="I103" s="153"/>
      <c r="J103" s="335"/>
      <c r="K103" s="335"/>
      <c r="L103" s="335"/>
      <c r="M103" s="335"/>
      <c r="N103" s="335"/>
      <c r="O103" s="335"/>
      <c r="P103" s="335"/>
      <c r="Q103" s="335"/>
      <c r="R103" s="335"/>
      <c r="S103" s="335"/>
      <c r="T103" s="335"/>
      <c r="U103" s="335"/>
      <c r="V103" s="335"/>
      <c r="W103" s="335"/>
    </row>
    <row r="104" spans="1:23" s="6" customFormat="1" ht="12.75" customHeight="1" outlineLevel="1">
      <c r="A104" s="64"/>
      <c r="B104" s="64"/>
      <c r="C104" s="62"/>
      <c r="D104" s="159"/>
      <c r="E104" s="129"/>
      <c r="F104" s="153"/>
      <c r="G104" s="153"/>
      <c r="H104" s="153"/>
      <c r="I104" s="153"/>
      <c r="J104" s="276"/>
      <c r="K104" s="276"/>
      <c r="L104" s="276"/>
      <c r="M104" s="276"/>
      <c r="N104" s="276"/>
      <c r="O104" s="276"/>
      <c r="P104" s="276"/>
      <c r="Q104" s="276"/>
      <c r="R104" s="276"/>
      <c r="S104" s="276"/>
      <c r="T104" s="276"/>
      <c r="U104" s="276"/>
      <c r="V104" s="276"/>
      <c r="W104" s="276"/>
    </row>
    <row r="105" spans="1:23" s="6" customFormat="1" ht="12.75" customHeight="1" outlineLevel="1">
      <c r="A105" s="64"/>
      <c r="B105" s="64"/>
      <c r="C105" s="62"/>
      <c r="D105" s="159"/>
      <c r="E105" s="74" t="s">
        <v>207</v>
      </c>
      <c r="F105" s="334">
        <f xml:space="preserve"> 9.375 * N35 / L35</f>
        <v>9.8446709233791747</v>
      </c>
      <c r="G105" s="82" t="s">
        <v>97</v>
      </c>
      <c r="H105" s="153"/>
      <c r="I105" s="153"/>
      <c r="J105" s="276"/>
      <c r="K105" s="276"/>
      <c r="L105" s="276"/>
      <c r="M105" s="276"/>
      <c r="N105" s="276"/>
      <c r="O105" s="276"/>
      <c r="P105" s="276"/>
      <c r="Q105" s="276"/>
      <c r="R105" s="276"/>
      <c r="S105" s="276"/>
      <c r="T105" s="276"/>
      <c r="U105" s="276"/>
      <c r="V105" s="276"/>
      <c r="W105" s="276"/>
    </row>
    <row r="106" spans="1:23" s="6" customFormat="1" ht="12.75" customHeight="1" outlineLevel="1">
      <c r="A106" s="64"/>
      <c r="B106" s="64"/>
      <c r="C106" s="62"/>
      <c r="D106" s="159"/>
      <c r="E106" s="74"/>
      <c r="F106" s="276"/>
      <c r="G106" s="82"/>
      <c r="H106" s="153"/>
      <c r="I106" s="153"/>
      <c r="J106" s="276"/>
      <c r="K106" s="276"/>
      <c r="L106" s="276"/>
      <c r="M106" s="276"/>
      <c r="N106" s="276"/>
      <c r="O106" s="276"/>
      <c r="P106" s="276"/>
      <c r="Q106" s="276"/>
      <c r="R106" s="276"/>
      <c r="S106" s="276"/>
      <c r="T106" s="276"/>
      <c r="U106" s="276"/>
      <c r="V106" s="276"/>
      <c r="W106" s="276"/>
    </row>
    <row r="107" spans="1:23" s="6" customFormat="1" ht="12.75" customHeight="1" outlineLevel="1">
      <c r="A107" s="64"/>
      <c r="B107" s="64"/>
      <c r="C107" s="62"/>
      <c r="D107" s="159"/>
      <c r="E107" s="74" t="s">
        <v>208</v>
      </c>
      <c r="F107" s="276"/>
      <c r="G107" s="82" t="s">
        <v>173</v>
      </c>
      <c r="H107" s="336">
        <f>SUM(J107:W107)</f>
        <v>1</v>
      </c>
      <c r="I107" s="153"/>
      <c r="J107" s="276"/>
      <c r="K107" s="276"/>
      <c r="L107" s="276"/>
      <c r="M107" s="276"/>
      <c r="N107" s="276"/>
      <c r="O107" s="276"/>
      <c r="P107" s="276"/>
      <c r="Q107" s="337">
        <v>0</v>
      </c>
      <c r="R107" s="337">
        <v>0</v>
      </c>
      <c r="S107" s="337">
        <v>0</v>
      </c>
      <c r="T107" s="337">
        <v>1</v>
      </c>
      <c r="U107" s="276"/>
      <c r="V107" s="276"/>
      <c r="W107" s="276"/>
    </row>
    <row r="108" spans="1:23" s="6" customFormat="1" ht="12.75" customHeight="1" outlineLevel="1">
      <c r="A108" s="64"/>
      <c r="B108" s="64"/>
      <c r="C108" s="62"/>
      <c r="D108" s="159"/>
      <c r="E108" s="74"/>
      <c r="F108" s="276"/>
      <c r="G108" s="82"/>
      <c r="H108" s="336"/>
      <c r="I108" s="153"/>
      <c r="J108" s="276"/>
      <c r="K108" s="276"/>
      <c r="L108" s="276"/>
      <c r="M108" s="276"/>
      <c r="N108" s="276"/>
      <c r="O108" s="276"/>
      <c r="P108" s="276"/>
      <c r="Q108" s="338"/>
      <c r="R108" s="338"/>
      <c r="S108" s="338"/>
      <c r="T108" s="338"/>
      <c r="U108" s="276"/>
      <c r="V108" s="276"/>
      <c r="W108" s="276"/>
    </row>
    <row r="109" spans="1:23" s="6" customFormat="1" ht="12.75" customHeight="1" outlineLevel="1">
      <c r="A109" s="64"/>
      <c r="B109" s="64"/>
      <c r="C109" s="62"/>
      <c r="D109" s="159"/>
      <c r="E109" s="129" t="s">
        <v>209</v>
      </c>
      <c r="F109" s="339">
        <f>IF(H107&gt;100%, 1, 0)</f>
        <v>0</v>
      </c>
      <c r="G109" s="82" t="s">
        <v>201</v>
      </c>
      <c r="H109" s="336"/>
      <c r="I109" s="153"/>
      <c r="J109" s="276"/>
      <c r="K109" s="276"/>
      <c r="L109" s="276"/>
      <c r="M109" s="276"/>
      <c r="N109" s="276"/>
      <c r="O109" s="276"/>
      <c r="P109" s="276"/>
      <c r="Q109" s="338"/>
      <c r="R109" s="338"/>
      <c r="S109" s="338"/>
      <c r="T109" s="338"/>
      <c r="U109" s="276"/>
      <c r="V109" s="276"/>
      <c r="W109" s="276"/>
    </row>
    <row r="110" spans="1:23" outlineLevel="1">
      <c r="B110" s="160"/>
      <c r="C110" s="62"/>
      <c r="D110" s="101"/>
      <c r="F110" s="82"/>
      <c r="G110" s="82"/>
      <c r="H110" s="82"/>
      <c r="I110" s="82"/>
      <c r="J110" s="335"/>
      <c r="K110" s="335"/>
      <c r="L110" s="335"/>
      <c r="M110" s="335"/>
      <c r="N110" s="335"/>
      <c r="O110" s="335"/>
      <c r="P110" s="335"/>
      <c r="Q110" s="335"/>
      <c r="R110" s="335"/>
      <c r="S110" s="335"/>
      <c r="T110" s="335"/>
      <c r="U110" s="335"/>
      <c r="V110" s="335"/>
      <c r="W110" s="335"/>
    </row>
    <row r="111" spans="1:23" ht="12.75" customHeight="1">
      <c r="A111" s="115" t="s">
        <v>210</v>
      </c>
      <c r="B111" s="115"/>
      <c r="C111" s="114"/>
      <c r="D111" s="115"/>
      <c r="E111" s="115"/>
      <c r="F111" s="340"/>
      <c r="G111" s="340"/>
      <c r="H111" s="340"/>
      <c r="I111" s="340"/>
      <c r="J111" s="340"/>
      <c r="K111" s="340"/>
      <c r="L111" s="340"/>
      <c r="M111" s="340"/>
      <c r="N111" s="340"/>
      <c r="O111" s="340"/>
      <c r="P111" s="340"/>
      <c r="Q111" s="340"/>
      <c r="R111" s="340"/>
      <c r="S111" s="340"/>
      <c r="T111" s="340"/>
      <c r="U111" s="340"/>
      <c r="V111" s="340"/>
      <c r="W111" s="340"/>
    </row>
    <row r="112" spans="1:23">
      <c r="B112" s="160"/>
      <c r="C112" s="62"/>
      <c r="D112" s="101"/>
      <c r="F112" s="82"/>
      <c r="G112" s="82"/>
      <c r="H112" s="82"/>
      <c r="I112" s="82"/>
      <c r="J112" s="335"/>
      <c r="K112" s="335"/>
      <c r="L112" s="335"/>
      <c r="M112" s="335"/>
      <c r="N112" s="335"/>
      <c r="O112" s="335"/>
      <c r="P112" s="335"/>
      <c r="Q112" s="335"/>
      <c r="R112" s="335"/>
      <c r="S112" s="335"/>
      <c r="T112" s="335"/>
      <c r="U112" s="335"/>
      <c r="V112" s="335"/>
      <c r="W112" s="335"/>
    </row>
    <row r="113" spans="1:23" outlineLevel="1">
      <c r="B113" s="99" t="s">
        <v>192</v>
      </c>
      <c r="C113" s="99"/>
      <c r="D113" s="100"/>
      <c r="E113" s="100"/>
      <c r="F113" s="82"/>
      <c r="G113" s="82"/>
      <c r="H113" s="153"/>
      <c r="I113" s="153"/>
      <c r="J113" s="335"/>
      <c r="K113" s="335"/>
      <c r="L113" s="335"/>
      <c r="M113" s="335"/>
      <c r="N113" s="335"/>
      <c r="O113" s="335"/>
      <c r="P113" s="335"/>
      <c r="Q113" s="335"/>
      <c r="R113" s="335"/>
      <c r="S113" s="335"/>
      <c r="T113" s="335"/>
      <c r="U113" s="335"/>
      <c r="V113" s="335"/>
      <c r="W113" s="335"/>
    </row>
    <row r="114" spans="1:23" outlineLevel="1">
      <c r="B114" s="160"/>
      <c r="C114" s="62"/>
      <c r="D114" s="101"/>
      <c r="F114" s="82"/>
      <c r="G114" s="82"/>
      <c r="H114" s="82"/>
      <c r="I114" s="82"/>
      <c r="J114" s="335"/>
      <c r="K114" s="335"/>
      <c r="L114" s="335"/>
      <c r="M114" s="335"/>
      <c r="N114" s="335"/>
      <c r="O114" s="335"/>
      <c r="P114" s="335"/>
      <c r="Q114" s="335"/>
      <c r="R114" s="335"/>
      <c r="S114" s="335"/>
      <c r="T114" s="335"/>
      <c r="U114" s="335"/>
      <c r="V114" s="335"/>
      <c r="W114" s="335"/>
    </row>
    <row r="115" spans="1:23" outlineLevel="1">
      <c r="B115" s="160"/>
      <c r="C115" s="62"/>
      <c r="D115" s="101"/>
      <c r="E115" s="74" t="s">
        <v>211</v>
      </c>
      <c r="F115" s="334">
        <v>846.00854667717704</v>
      </c>
      <c r="G115" s="82" t="s">
        <v>97</v>
      </c>
      <c r="H115" s="82"/>
      <c r="I115" s="82"/>
      <c r="J115" s="335"/>
      <c r="K115" s="335"/>
      <c r="L115" s="335"/>
      <c r="M115" s="335"/>
      <c r="N115" s="335"/>
      <c r="O115" s="335"/>
      <c r="P115" s="335"/>
      <c r="Q115" s="335"/>
      <c r="R115" s="335"/>
      <c r="S115" s="335"/>
      <c r="T115" s="335"/>
      <c r="U115" s="335"/>
      <c r="V115" s="335"/>
      <c r="W115" s="335"/>
    </row>
    <row r="116" spans="1:23" s="6" customFormat="1" outlineLevel="1">
      <c r="A116" s="64"/>
      <c r="B116" s="90"/>
      <c r="C116" s="62"/>
      <c r="D116" s="101"/>
      <c r="E116" s="129"/>
      <c r="F116" s="276"/>
      <c r="G116" s="153"/>
      <c r="H116" s="153"/>
      <c r="I116" s="153"/>
      <c r="J116" s="276"/>
      <c r="K116" s="276"/>
      <c r="L116" s="276"/>
      <c r="M116" s="276"/>
      <c r="N116" s="276"/>
      <c r="O116" s="276"/>
      <c r="P116" s="276"/>
      <c r="Q116" s="276"/>
      <c r="R116" s="276"/>
      <c r="S116" s="276"/>
      <c r="T116" s="276"/>
      <c r="U116" s="276"/>
      <c r="V116" s="276"/>
      <c r="W116" s="276"/>
    </row>
    <row r="117" spans="1:23" s="6" customFormat="1" outlineLevel="1">
      <c r="A117" s="64"/>
      <c r="B117" s="90"/>
      <c r="C117" s="62"/>
      <c r="D117" s="101"/>
      <c r="E117" s="129" t="s">
        <v>212</v>
      </c>
      <c r="F117" s="276"/>
      <c r="G117" s="153" t="s">
        <v>105</v>
      </c>
      <c r="H117" s="335">
        <f>SUM(J117:W117)</f>
        <v>-4.3599999999999994</v>
      </c>
      <c r="I117" s="153"/>
      <c r="J117" s="276"/>
      <c r="K117" s="276"/>
      <c r="L117" s="276"/>
      <c r="M117" s="276"/>
      <c r="N117" s="276"/>
      <c r="O117" s="276"/>
      <c r="P117" s="334">
        <v>0</v>
      </c>
      <c r="Q117" s="334">
        <v>-0.81000000000000016</v>
      </c>
      <c r="R117" s="334">
        <v>-4.6100000000000003</v>
      </c>
      <c r="S117" s="334">
        <v>-4.42</v>
      </c>
      <c r="T117" s="334">
        <v>5.48</v>
      </c>
      <c r="U117" s="276"/>
      <c r="V117" s="276"/>
      <c r="W117" s="276"/>
    </row>
    <row r="118" spans="1:23" s="6" customFormat="1" outlineLevel="1">
      <c r="A118" s="64"/>
      <c r="B118" s="90"/>
      <c r="C118" s="62"/>
      <c r="D118" s="101"/>
      <c r="E118" s="129"/>
      <c r="F118" s="276"/>
      <c r="G118" s="153"/>
      <c r="H118" s="153"/>
      <c r="I118" s="153"/>
      <c r="J118" s="335"/>
      <c r="K118" s="335"/>
      <c r="L118" s="335"/>
      <c r="M118" s="335"/>
      <c r="N118" s="335"/>
      <c r="O118" s="335"/>
      <c r="P118" s="335"/>
      <c r="Q118" s="335"/>
      <c r="R118" s="335"/>
      <c r="S118" s="335"/>
      <c r="T118" s="335"/>
      <c r="U118" s="335"/>
      <c r="V118" s="335"/>
      <c r="W118" s="335"/>
    </row>
    <row r="119" spans="1:23" s="6" customFormat="1" ht="12.75" customHeight="1" outlineLevel="1">
      <c r="A119" s="64"/>
      <c r="B119" s="64"/>
      <c r="C119" s="62"/>
      <c r="D119" s="159"/>
      <c r="E119" s="129" t="s">
        <v>213</v>
      </c>
      <c r="F119" s="153"/>
      <c r="G119" s="153" t="s">
        <v>97</v>
      </c>
      <c r="H119" s="335">
        <f>SUM(J119:W119)</f>
        <v>3440.5895882405712</v>
      </c>
      <c r="I119" s="153"/>
      <c r="J119" s="276"/>
      <c r="K119" s="276"/>
      <c r="L119" s="276"/>
      <c r="M119" s="276"/>
      <c r="N119" s="276"/>
      <c r="O119" s="276"/>
      <c r="P119" s="334">
        <v>825.63</v>
      </c>
      <c r="Q119" s="334">
        <v>833.93600000000004</v>
      </c>
      <c r="R119" s="334">
        <v>870.49199999999996</v>
      </c>
      <c r="S119" s="334">
        <v>910.53158824057141</v>
      </c>
      <c r="T119" s="334"/>
      <c r="U119" s="276"/>
      <c r="V119" s="276"/>
      <c r="W119" s="276"/>
    </row>
    <row r="120" spans="1:23" s="6" customFormat="1" ht="12.75" customHeight="1" outlineLevel="1">
      <c r="A120" s="64"/>
      <c r="B120" s="64"/>
      <c r="C120" s="62"/>
      <c r="D120" s="159"/>
      <c r="E120" s="129"/>
      <c r="F120" s="153"/>
      <c r="G120" s="153"/>
      <c r="H120" s="153"/>
      <c r="I120" s="153"/>
      <c r="J120" s="276"/>
      <c r="K120" s="276"/>
      <c r="L120" s="276"/>
      <c r="M120" s="276"/>
      <c r="N120" s="276"/>
      <c r="O120" s="276"/>
      <c r="P120" s="276"/>
      <c r="Q120" s="276"/>
      <c r="R120" s="276"/>
      <c r="S120" s="276"/>
      <c r="T120" s="276"/>
      <c r="U120" s="276"/>
      <c r="V120" s="276"/>
      <c r="W120" s="276"/>
    </row>
    <row r="121" spans="1:23" outlineLevel="1">
      <c r="B121" s="99" t="s">
        <v>197</v>
      </c>
      <c r="C121" s="99"/>
      <c r="D121" s="100"/>
      <c r="E121" s="100"/>
      <c r="F121" s="82"/>
      <c r="G121" s="82"/>
      <c r="H121" s="153"/>
      <c r="I121" s="153"/>
      <c r="J121" s="335"/>
      <c r="K121" s="335"/>
      <c r="L121" s="335"/>
      <c r="M121" s="335"/>
      <c r="N121" s="335"/>
      <c r="O121" s="335"/>
      <c r="P121" s="335"/>
      <c r="Q121" s="335"/>
      <c r="R121" s="335"/>
      <c r="S121" s="335"/>
      <c r="T121" s="335"/>
      <c r="U121" s="335"/>
      <c r="V121" s="335"/>
      <c r="W121" s="335"/>
    </row>
    <row r="122" spans="1:23" s="6" customFormat="1" ht="12.75" customHeight="1" outlineLevel="1">
      <c r="A122" s="64"/>
      <c r="B122" s="64"/>
      <c r="C122" s="62"/>
      <c r="D122" s="159"/>
      <c r="E122" s="129"/>
      <c r="F122" s="153"/>
      <c r="G122" s="153"/>
      <c r="H122" s="153"/>
      <c r="I122" s="153"/>
      <c r="J122" s="276"/>
      <c r="K122" s="276"/>
      <c r="L122" s="276"/>
      <c r="M122" s="276"/>
      <c r="N122" s="276"/>
      <c r="O122" s="276"/>
      <c r="P122" s="276"/>
      <c r="Q122" s="276"/>
      <c r="R122" s="276"/>
      <c r="S122" s="276"/>
      <c r="T122" s="276"/>
      <c r="U122" s="276"/>
      <c r="V122" s="276"/>
      <c r="W122" s="276"/>
    </row>
    <row r="123" spans="1:23" s="6" customFormat="1" ht="12.75" customHeight="1" outlineLevel="1">
      <c r="A123" s="64"/>
      <c r="B123" s="64"/>
      <c r="C123" s="62"/>
      <c r="D123" s="159"/>
      <c r="E123" s="74" t="s">
        <v>214</v>
      </c>
      <c r="F123" s="334">
        <f xml:space="preserve"> 5.55 * N35 / L35</f>
        <v>5.8280451866404714</v>
      </c>
      <c r="G123" s="82" t="s">
        <v>97</v>
      </c>
      <c r="H123" s="153"/>
      <c r="I123" s="153"/>
      <c r="J123" s="276"/>
      <c r="K123" s="276"/>
      <c r="L123" s="276"/>
      <c r="M123" s="276"/>
      <c r="N123" s="276"/>
      <c r="O123" s="276"/>
      <c r="P123" s="276"/>
      <c r="Q123" s="276"/>
      <c r="R123" s="276"/>
      <c r="S123" s="276"/>
      <c r="T123" s="276"/>
      <c r="U123" s="276"/>
      <c r="V123" s="276"/>
      <c r="W123" s="276"/>
    </row>
    <row r="124" spans="1:23" s="6" customFormat="1" ht="12.75" customHeight="1" outlineLevel="1">
      <c r="A124" s="64"/>
      <c r="B124" s="64"/>
      <c r="C124" s="62"/>
      <c r="D124" s="159"/>
      <c r="E124" s="74"/>
      <c r="F124" s="276"/>
      <c r="G124" s="82"/>
      <c r="H124" s="153"/>
      <c r="I124" s="153"/>
      <c r="J124" s="276"/>
      <c r="K124" s="276"/>
      <c r="L124" s="276"/>
      <c r="M124" s="276"/>
      <c r="N124" s="276"/>
      <c r="O124" s="276"/>
      <c r="P124" s="276"/>
      <c r="Q124" s="276"/>
      <c r="R124" s="276"/>
      <c r="S124" s="276"/>
      <c r="T124" s="276"/>
      <c r="U124" s="276"/>
      <c r="V124" s="276"/>
      <c r="W124" s="276"/>
    </row>
    <row r="125" spans="1:23" s="6" customFormat="1" ht="12.75" customHeight="1" outlineLevel="1">
      <c r="A125" s="64"/>
      <c r="B125" s="64"/>
      <c r="C125" s="62"/>
      <c r="D125" s="159"/>
      <c r="E125" s="74" t="s">
        <v>215</v>
      </c>
      <c r="F125" s="276"/>
      <c r="G125" s="82" t="s">
        <v>173</v>
      </c>
      <c r="H125" s="336">
        <f>SUM(J125:W125)</f>
        <v>1</v>
      </c>
      <c r="I125" s="153"/>
      <c r="J125" s="276"/>
      <c r="K125" s="276"/>
      <c r="L125" s="276"/>
      <c r="M125" s="276"/>
      <c r="N125" s="276"/>
      <c r="O125" s="276"/>
      <c r="P125" s="276"/>
      <c r="Q125" s="337">
        <v>0</v>
      </c>
      <c r="R125" s="337">
        <v>0</v>
      </c>
      <c r="S125" s="337">
        <v>0</v>
      </c>
      <c r="T125" s="337">
        <v>1</v>
      </c>
      <c r="U125" s="276"/>
      <c r="V125" s="276"/>
      <c r="W125" s="276"/>
    </row>
    <row r="126" spans="1:23" s="6" customFormat="1" ht="12.75" customHeight="1" outlineLevel="1">
      <c r="A126" s="64"/>
      <c r="B126" s="64"/>
      <c r="C126" s="62"/>
      <c r="D126" s="159"/>
      <c r="E126" s="74"/>
      <c r="F126" s="276"/>
      <c r="G126" s="82"/>
      <c r="H126" s="336"/>
      <c r="I126" s="153"/>
      <c r="J126" s="276"/>
      <c r="K126" s="276"/>
      <c r="L126" s="276"/>
      <c r="M126" s="276"/>
      <c r="N126" s="276"/>
      <c r="O126" s="276"/>
      <c r="P126" s="276"/>
      <c r="Q126" s="338"/>
      <c r="R126" s="338"/>
      <c r="S126" s="338"/>
      <c r="T126" s="338"/>
      <c r="U126" s="276"/>
      <c r="V126" s="276"/>
      <c r="W126" s="276"/>
    </row>
    <row r="127" spans="1:23" s="6" customFormat="1" ht="12.75" customHeight="1" outlineLevel="1">
      <c r="A127" s="64"/>
      <c r="B127" s="64"/>
      <c r="C127" s="62"/>
      <c r="D127" s="159"/>
      <c r="E127" s="129" t="s">
        <v>216</v>
      </c>
      <c r="F127" s="339">
        <f>IF(H125&gt;100%, 1, 0)</f>
        <v>0</v>
      </c>
      <c r="G127" s="82" t="s">
        <v>201</v>
      </c>
      <c r="H127" s="336"/>
      <c r="I127" s="153"/>
      <c r="J127" s="276"/>
      <c r="K127" s="276"/>
      <c r="L127" s="276"/>
      <c r="M127" s="276"/>
      <c r="N127" s="276"/>
      <c r="O127" s="276"/>
      <c r="P127" s="276"/>
      <c r="Q127" s="338"/>
      <c r="R127" s="338"/>
      <c r="S127" s="338"/>
      <c r="T127" s="338"/>
      <c r="U127" s="276"/>
      <c r="V127" s="276"/>
      <c r="W127" s="276"/>
    </row>
    <row r="128" spans="1:23" outlineLevel="1">
      <c r="F128" s="82"/>
      <c r="G128" s="82"/>
      <c r="H128" s="82"/>
      <c r="I128" s="82"/>
      <c r="J128" s="82"/>
      <c r="K128" s="82"/>
      <c r="L128" s="82"/>
      <c r="M128" s="82"/>
      <c r="N128" s="82"/>
      <c r="O128" s="82"/>
      <c r="P128" s="82"/>
      <c r="Q128" s="82"/>
      <c r="R128" s="82"/>
      <c r="S128" s="82"/>
      <c r="T128" s="82"/>
      <c r="U128" s="82"/>
      <c r="V128" s="82"/>
      <c r="W128" s="82"/>
    </row>
    <row r="129" spans="1:23" ht="12.75" customHeight="1">
      <c r="A129" s="115" t="s">
        <v>217</v>
      </c>
      <c r="B129" s="115"/>
      <c r="C129" s="114"/>
      <c r="D129" s="115"/>
      <c r="E129" s="115"/>
      <c r="F129" s="340"/>
      <c r="G129" s="340"/>
      <c r="H129" s="340"/>
      <c r="I129" s="340"/>
      <c r="J129" s="340"/>
      <c r="K129" s="340"/>
      <c r="L129" s="340"/>
      <c r="M129" s="340"/>
      <c r="N129" s="340"/>
      <c r="O129" s="340"/>
      <c r="P129" s="340"/>
      <c r="Q129" s="340"/>
      <c r="R129" s="340"/>
      <c r="S129" s="340"/>
      <c r="T129" s="340"/>
      <c r="U129" s="340"/>
      <c r="V129" s="340"/>
      <c r="W129" s="340"/>
    </row>
    <row r="130" spans="1:23">
      <c r="B130" s="160"/>
      <c r="C130" s="62"/>
      <c r="D130" s="101"/>
      <c r="F130" s="82"/>
      <c r="G130" s="82"/>
      <c r="H130" s="82"/>
      <c r="I130" s="82"/>
      <c r="J130" s="335"/>
      <c r="K130" s="335"/>
      <c r="L130" s="335"/>
      <c r="M130" s="335"/>
      <c r="N130" s="335"/>
      <c r="O130" s="335"/>
      <c r="P130" s="335"/>
      <c r="Q130" s="335"/>
      <c r="R130" s="335"/>
      <c r="S130" s="335"/>
      <c r="T130" s="335"/>
      <c r="U130" s="335"/>
      <c r="V130" s="335"/>
      <c r="W130" s="335"/>
    </row>
    <row r="131" spans="1:23" outlineLevel="1">
      <c r="B131" s="99" t="s">
        <v>192</v>
      </c>
      <c r="C131" s="99"/>
      <c r="D131" s="100"/>
      <c r="E131" s="100"/>
      <c r="F131" s="82"/>
      <c r="G131" s="82"/>
      <c r="H131" s="153"/>
      <c r="I131" s="153"/>
      <c r="J131" s="335"/>
      <c r="K131" s="335"/>
      <c r="L131" s="335"/>
      <c r="M131" s="335"/>
      <c r="N131" s="335"/>
      <c r="O131" s="335"/>
      <c r="P131" s="335"/>
      <c r="Q131" s="335"/>
      <c r="R131" s="335"/>
      <c r="S131" s="335"/>
      <c r="T131" s="335"/>
      <c r="U131" s="335"/>
      <c r="V131" s="335"/>
      <c r="W131" s="335"/>
    </row>
    <row r="132" spans="1:23" outlineLevel="1">
      <c r="B132" s="160"/>
      <c r="C132" s="62"/>
      <c r="D132" s="101"/>
      <c r="F132" s="82"/>
      <c r="G132" s="82"/>
      <c r="H132" s="82"/>
      <c r="I132" s="82"/>
      <c r="J132" s="335"/>
      <c r="K132" s="335"/>
      <c r="L132" s="335"/>
      <c r="M132" s="335"/>
      <c r="N132" s="335"/>
      <c r="O132" s="335"/>
      <c r="P132" s="335"/>
      <c r="Q132" s="335"/>
      <c r="R132" s="335"/>
      <c r="S132" s="335"/>
      <c r="T132" s="335"/>
      <c r="U132" s="335"/>
      <c r="V132" s="335"/>
      <c r="W132" s="335"/>
    </row>
    <row r="133" spans="1:23" outlineLevel="1">
      <c r="B133" s="160"/>
      <c r="C133" s="62"/>
      <c r="D133" s="101"/>
      <c r="E133" s="74" t="s">
        <v>218</v>
      </c>
      <c r="F133" s="334">
        <v>62.310189119974403</v>
      </c>
      <c r="G133" s="82" t="s">
        <v>97</v>
      </c>
      <c r="H133" s="82"/>
      <c r="I133" s="82"/>
      <c r="J133" s="335"/>
      <c r="K133" s="335"/>
      <c r="L133" s="335"/>
      <c r="M133" s="335"/>
      <c r="N133" s="335"/>
      <c r="O133" s="335"/>
      <c r="P133" s="335"/>
      <c r="Q133" s="335"/>
      <c r="R133" s="335"/>
      <c r="S133" s="335"/>
      <c r="T133" s="335"/>
      <c r="U133" s="335"/>
      <c r="V133" s="335"/>
      <c r="W133" s="335"/>
    </row>
    <row r="134" spans="1:23" s="6" customFormat="1" outlineLevel="1">
      <c r="A134" s="64"/>
      <c r="B134" s="90"/>
      <c r="C134" s="62"/>
      <c r="D134" s="101"/>
      <c r="E134" s="129"/>
      <c r="F134" s="276"/>
      <c r="G134" s="153"/>
      <c r="H134" s="153"/>
      <c r="I134" s="153"/>
      <c r="J134" s="276"/>
      <c r="K134" s="276"/>
      <c r="L134" s="276"/>
      <c r="M134" s="276"/>
      <c r="N134" s="276"/>
      <c r="O134" s="276"/>
      <c r="P134" s="276"/>
      <c r="Q134" s="276"/>
      <c r="R134" s="276"/>
      <c r="S134" s="276"/>
      <c r="T134" s="276"/>
      <c r="U134" s="276"/>
      <c r="V134" s="276"/>
      <c r="W134" s="276"/>
    </row>
    <row r="135" spans="1:23" s="6" customFormat="1" outlineLevel="1">
      <c r="A135" s="64"/>
      <c r="B135" s="90"/>
      <c r="C135" s="62"/>
      <c r="D135" s="101"/>
      <c r="E135" s="129" t="s">
        <v>219</v>
      </c>
      <c r="F135" s="276"/>
      <c r="G135" s="153" t="s">
        <v>105</v>
      </c>
      <c r="H135" s="335">
        <f>SUM(J135:W135)</f>
        <v>-40.72</v>
      </c>
      <c r="I135" s="153"/>
      <c r="J135" s="276"/>
      <c r="K135" s="276"/>
      <c r="L135" s="276"/>
      <c r="M135" s="276"/>
      <c r="N135" s="276"/>
      <c r="O135" s="276"/>
      <c r="P135" s="334">
        <v>-19.73</v>
      </c>
      <c r="Q135" s="334">
        <v>4.6399999999999997</v>
      </c>
      <c r="R135" s="334">
        <v>2.78</v>
      </c>
      <c r="S135" s="334">
        <v>-11.51</v>
      </c>
      <c r="T135" s="334">
        <v>-16.900000000000002</v>
      </c>
      <c r="U135" s="276"/>
      <c r="V135" s="276"/>
      <c r="W135" s="276"/>
    </row>
    <row r="136" spans="1:23" s="6" customFormat="1" outlineLevel="1">
      <c r="A136" s="64"/>
      <c r="B136" s="90"/>
      <c r="C136" s="62"/>
      <c r="D136" s="101"/>
      <c r="E136" s="129"/>
      <c r="F136" s="276"/>
      <c r="G136" s="153"/>
      <c r="H136" s="153"/>
      <c r="I136" s="153"/>
      <c r="J136" s="335"/>
      <c r="K136" s="335"/>
      <c r="L136" s="335"/>
      <c r="M136" s="335"/>
      <c r="N136" s="335"/>
      <c r="O136" s="335"/>
      <c r="P136" s="335"/>
      <c r="Q136" s="335"/>
      <c r="R136" s="335"/>
      <c r="S136" s="335"/>
      <c r="T136" s="335"/>
      <c r="U136" s="335"/>
      <c r="V136" s="335"/>
      <c r="W136" s="335"/>
    </row>
    <row r="137" spans="1:23" s="6" customFormat="1" ht="12.75" customHeight="1" outlineLevel="1">
      <c r="A137" s="64"/>
      <c r="B137" s="64"/>
      <c r="C137" s="62"/>
      <c r="D137" s="159"/>
      <c r="E137" s="129" t="s">
        <v>220</v>
      </c>
      <c r="F137" s="153"/>
      <c r="G137" s="153" t="s">
        <v>97</v>
      </c>
      <c r="H137" s="335">
        <f>SUM(J137:W137)</f>
        <v>216.65199999999999</v>
      </c>
      <c r="I137" s="153"/>
      <c r="J137" s="276"/>
      <c r="K137" s="276"/>
      <c r="L137" s="276"/>
      <c r="M137" s="276"/>
      <c r="N137" s="276"/>
      <c r="O137" s="276"/>
      <c r="P137" s="334">
        <v>48.593000000000004</v>
      </c>
      <c r="Q137" s="334">
        <v>52.494999999999997</v>
      </c>
      <c r="R137" s="334">
        <v>58.792999999999999</v>
      </c>
      <c r="S137" s="334">
        <v>56.771000000000001</v>
      </c>
      <c r="T137" s="334"/>
      <c r="U137" s="276"/>
      <c r="V137" s="276"/>
      <c r="W137" s="276"/>
    </row>
    <row r="138" spans="1:23" s="6" customFormat="1" ht="12.75" customHeight="1" outlineLevel="1">
      <c r="A138" s="64"/>
      <c r="B138" s="64"/>
      <c r="C138" s="62"/>
      <c r="D138" s="159"/>
      <c r="E138" s="129"/>
      <c r="F138" s="153"/>
      <c r="G138" s="153"/>
      <c r="H138" s="153"/>
      <c r="I138" s="153"/>
      <c r="J138" s="276"/>
      <c r="K138" s="276"/>
      <c r="L138" s="276"/>
      <c r="M138" s="276"/>
      <c r="N138" s="276"/>
      <c r="O138" s="276"/>
      <c r="P138" s="276"/>
      <c r="Q138" s="276"/>
      <c r="R138" s="276"/>
      <c r="S138" s="276"/>
      <c r="T138" s="276"/>
      <c r="U138" s="276"/>
      <c r="V138" s="276"/>
      <c r="W138" s="276"/>
    </row>
    <row r="139" spans="1:23" outlineLevel="1">
      <c r="B139" s="99" t="s">
        <v>197</v>
      </c>
      <c r="C139" s="99"/>
      <c r="D139" s="100"/>
      <c r="E139" s="100"/>
      <c r="F139" s="82"/>
      <c r="G139" s="82"/>
      <c r="H139" s="153"/>
      <c r="I139" s="153"/>
      <c r="J139" s="335"/>
      <c r="K139" s="335"/>
      <c r="L139" s="335"/>
      <c r="M139" s="335"/>
      <c r="N139" s="335"/>
      <c r="O139" s="335"/>
      <c r="P139" s="335"/>
      <c r="Q139" s="335"/>
      <c r="R139" s="335"/>
      <c r="S139" s="335"/>
      <c r="T139" s="335"/>
      <c r="U139" s="335"/>
      <c r="V139" s="335"/>
      <c r="W139" s="335"/>
    </row>
    <row r="140" spans="1:23" s="6" customFormat="1" ht="12.75" customHeight="1" outlineLevel="1">
      <c r="A140" s="64"/>
      <c r="B140" s="64"/>
      <c r="C140" s="62"/>
      <c r="D140" s="159"/>
      <c r="E140" s="129"/>
      <c r="F140" s="153"/>
      <c r="G140" s="153"/>
      <c r="H140" s="153"/>
      <c r="I140" s="153"/>
      <c r="J140" s="276"/>
      <c r="K140" s="276"/>
      <c r="L140" s="276"/>
      <c r="M140" s="276"/>
      <c r="N140" s="276"/>
      <c r="O140" s="276"/>
      <c r="P140" s="276"/>
      <c r="Q140" s="276"/>
      <c r="R140" s="276"/>
      <c r="S140" s="276"/>
      <c r="T140" s="276"/>
      <c r="U140" s="276"/>
      <c r="V140" s="276"/>
      <c r="W140" s="276"/>
    </row>
    <row r="141" spans="1:23" s="6" customFormat="1" ht="12.75" customHeight="1" outlineLevel="1">
      <c r="A141" s="64"/>
      <c r="B141" s="64"/>
      <c r="C141" s="62"/>
      <c r="D141" s="159"/>
      <c r="E141" s="74" t="s">
        <v>221</v>
      </c>
      <c r="F141" s="334">
        <f xml:space="preserve"> 1.443 * N35 / L35</f>
        <v>1.5152917485265229</v>
      </c>
      <c r="G141" s="82" t="s">
        <v>97</v>
      </c>
      <c r="H141" s="153"/>
      <c r="I141" s="153"/>
      <c r="J141" s="276"/>
      <c r="K141" s="276"/>
      <c r="L141" s="276"/>
      <c r="M141" s="276"/>
      <c r="N141" s="276"/>
      <c r="O141" s="276"/>
      <c r="P141" s="276"/>
      <c r="Q141" s="276"/>
      <c r="R141" s="276"/>
      <c r="S141" s="276"/>
      <c r="T141" s="276"/>
      <c r="U141" s="276"/>
      <c r="V141" s="276"/>
      <c r="W141" s="276"/>
    </row>
    <row r="142" spans="1:23" s="6" customFormat="1" ht="12.75" customHeight="1" outlineLevel="1">
      <c r="A142" s="64"/>
      <c r="B142" s="64"/>
      <c r="C142" s="62"/>
      <c r="D142" s="159"/>
      <c r="E142" s="74"/>
      <c r="F142" s="276"/>
      <c r="G142" s="82"/>
      <c r="H142" s="153"/>
      <c r="I142" s="153"/>
      <c r="J142" s="276"/>
      <c r="K142" s="276"/>
      <c r="L142" s="276"/>
      <c r="M142" s="276"/>
      <c r="N142" s="276"/>
      <c r="O142" s="276"/>
      <c r="P142" s="276"/>
      <c r="Q142" s="276"/>
      <c r="R142" s="276"/>
      <c r="S142" s="276"/>
      <c r="T142" s="276"/>
      <c r="U142" s="276"/>
      <c r="V142" s="276"/>
      <c r="W142" s="276"/>
    </row>
    <row r="143" spans="1:23" s="6" customFormat="1" ht="12.75" customHeight="1" outlineLevel="1">
      <c r="A143" s="64"/>
      <c r="B143" s="64"/>
      <c r="C143" s="62"/>
      <c r="D143" s="159"/>
      <c r="E143" s="74" t="s">
        <v>222</v>
      </c>
      <c r="F143" s="276"/>
      <c r="G143" s="82" t="s">
        <v>173</v>
      </c>
      <c r="H143" s="336">
        <f>SUM(J143:W143)</f>
        <v>0</v>
      </c>
      <c r="I143" s="153"/>
      <c r="J143" s="276"/>
      <c r="K143" s="276"/>
      <c r="L143" s="276"/>
      <c r="M143" s="276"/>
      <c r="N143" s="276"/>
      <c r="O143" s="276"/>
      <c r="P143" s="276"/>
      <c r="Q143" s="337">
        <v>0</v>
      </c>
      <c r="R143" s="337">
        <v>0</v>
      </c>
      <c r="S143" s="337">
        <v>0</v>
      </c>
      <c r="T143" s="337">
        <v>0</v>
      </c>
      <c r="U143" s="276"/>
      <c r="V143" s="276"/>
      <c r="W143" s="276"/>
    </row>
    <row r="144" spans="1:23" s="6" customFormat="1" ht="12.75" customHeight="1" outlineLevel="1">
      <c r="A144" s="64"/>
      <c r="B144" s="64"/>
      <c r="C144" s="62"/>
      <c r="D144" s="159"/>
      <c r="E144" s="74"/>
      <c r="F144" s="276"/>
      <c r="G144" s="82"/>
      <c r="H144" s="336"/>
      <c r="I144" s="153"/>
      <c r="J144" s="276"/>
      <c r="K144" s="276"/>
      <c r="L144" s="276"/>
      <c r="M144" s="276"/>
      <c r="N144" s="276"/>
      <c r="O144" s="276"/>
      <c r="P144" s="276"/>
      <c r="Q144" s="338"/>
      <c r="R144" s="338"/>
      <c r="S144" s="338"/>
      <c r="T144" s="338"/>
      <c r="U144" s="276"/>
      <c r="V144" s="276"/>
      <c r="W144" s="276"/>
    </row>
    <row r="145" spans="1:23" s="6" customFormat="1" ht="12.75" customHeight="1" outlineLevel="1">
      <c r="A145" s="64"/>
      <c r="B145" s="64"/>
      <c r="C145" s="62"/>
      <c r="D145" s="159"/>
      <c r="E145" s="129" t="s">
        <v>223</v>
      </c>
      <c r="F145" s="339">
        <f>IF(H143&gt;100%, 1, 0)</f>
        <v>0</v>
      </c>
      <c r="G145" s="82" t="s">
        <v>201</v>
      </c>
      <c r="H145" s="336"/>
      <c r="I145" s="153"/>
      <c r="J145" s="276"/>
      <c r="K145" s="276"/>
      <c r="L145" s="276"/>
      <c r="M145" s="276"/>
      <c r="N145" s="276"/>
      <c r="O145" s="276"/>
      <c r="P145" s="276"/>
      <c r="Q145" s="338"/>
      <c r="R145" s="338"/>
      <c r="S145" s="338"/>
      <c r="T145" s="338"/>
      <c r="U145" s="276"/>
      <c r="V145" s="276"/>
      <c r="W145" s="276"/>
    </row>
    <row r="146" spans="1:23" outlineLevel="1">
      <c r="F146" s="82"/>
      <c r="G146" s="82"/>
      <c r="H146" s="82"/>
      <c r="I146" s="82"/>
      <c r="J146" s="82"/>
      <c r="K146" s="82"/>
      <c r="L146" s="82"/>
      <c r="M146" s="82"/>
      <c r="N146" s="82"/>
      <c r="O146" s="82"/>
      <c r="P146" s="82"/>
      <c r="Q146" s="82"/>
      <c r="R146" s="82"/>
      <c r="S146" s="82"/>
      <c r="T146" s="82"/>
      <c r="U146" s="82"/>
      <c r="V146" s="82"/>
      <c r="W146" s="82"/>
    </row>
    <row r="147" spans="1:23" ht="12.75" customHeight="1">
      <c r="A147" s="115" t="s">
        <v>224</v>
      </c>
      <c r="B147" s="115"/>
      <c r="C147" s="114"/>
      <c r="D147" s="115"/>
      <c r="E147" s="115"/>
      <c r="F147" s="340"/>
      <c r="G147" s="340"/>
      <c r="H147" s="340"/>
      <c r="I147" s="340"/>
      <c r="J147" s="340"/>
      <c r="K147" s="340"/>
      <c r="L147" s="340"/>
      <c r="M147" s="340"/>
      <c r="N147" s="340"/>
      <c r="O147" s="340"/>
      <c r="P147" s="340"/>
      <c r="Q147" s="340"/>
      <c r="R147" s="340"/>
      <c r="S147" s="340"/>
      <c r="T147" s="340"/>
      <c r="U147" s="340"/>
      <c r="V147" s="340"/>
      <c r="W147" s="340"/>
    </row>
    <row r="148" spans="1:23" ht="12.75" customHeight="1">
      <c r="B148" s="105"/>
      <c r="C148" s="2"/>
      <c r="D148" s="101"/>
      <c r="E148" s="2"/>
      <c r="F148" s="343"/>
      <c r="G148" s="465"/>
      <c r="H148" s="465"/>
      <c r="I148" s="343"/>
      <c r="J148" s="343"/>
      <c r="K148" s="343"/>
      <c r="L148" s="343"/>
      <c r="M148" s="343"/>
      <c r="N148" s="343"/>
      <c r="O148" s="343"/>
      <c r="P148" s="343"/>
      <c r="Q148" s="343"/>
      <c r="R148" s="343"/>
      <c r="S148" s="343"/>
      <c r="T148" s="343"/>
      <c r="U148" s="343"/>
      <c r="V148" s="343"/>
      <c r="W148" s="343"/>
    </row>
    <row r="149" spans="1:23" ht="12.75" customHeight="1" outlineLevel="1">
      <c r="B149" s="49"/>
      <c r="C149" s="20"/>
      <c r="D149" s="109"/>
      <c r="E149" s="101" t="s">
        <v>225</v>
      </c>
      <c r="F149" s="269">
        <v>12</v>
      </c>
      <c r="G149" s="153" t="s">
        <v>226</v>
      </c>
      <c r="H149" s="153"/>
      <c r="I149" s="342"/>
      <c r="J149" s="343"/>
      <c r="K149" s="343"/>
      <c r="L149" s="343"/>
      <c r="M149" s="343"/>
      <c r="N149" s="343"/>
      <c r="O149" s="343"/>
      <c r="P149" s="343"/>
      <c r="Q149" s="343"/>
      <c r="R149" s="343"/>
      <c r="S149" s="343"/>
      <c r="T149" s="343"/>
      <c r="U149" s="343"/>
      <c r="V149" s="343"/>
      <c r="W149" s="343"/>
    </row>
    <row r="150" spans="1:23" ht="12.75" customHeight="1" outlineLevel="1">
      <c r="B150" s="49"/>
      <c r="C150" s="20"/>
      <c r="D150" s="109"/>
      <c r="E150" s="28"/>
      <c r="F150" s="344"/>
      <c r="G150" s="341"/>
      <c r="H150" s="341"/>
      <c r="I150" s="342"/>
      <c r="J150" s="343"/>
      <c r="K150" s="343"/>
      <c r="L150" s="343"/>
      <c r="M150" s="343"/>
      <c r="N150" s="343"/>
      <c r="O150" s="343"/>
      <c r="P150" s="343"/>
      <c r="Q150" s="343"/>
      <c r="R150" s="343"/>
      <c r="S150" s="343"/>
      <c r="T150" s="343"/>
      <c r="U150" s="343"/>
      <c r="V150" s="343"/>
      <c r="W150" s="343"/>
    </row>
    <row r="151" spans="1:23" s="14" customFormat="1" ht="12.75" customHeight="1" outlineLevel="1">
      <c r="A151" s="63"/>
      <c r="B151" s="90"/>
      <c r="C151" s="109"/>
      <c r="D151" s="109"/>
      <c r="E151" s="57" t="s">
        <v>227</v>
      </c>
      <c r="F151" s="269">
        <v>100</v>
      </c>
      <c r="G151" s="82" t="s">
        <v>105</v>
      </c>
      <c r="H151" s="82"/>
      <c r="I151" s="82"/>
      <c r="J151" s="153"/>
      <c r="K151" s="153"/>
      <c r="L151" s="153"/>
      <c r="M151" s="153"/>
      <c r="N151" s="153"/>
      <c r="O151" s="153"/>
      <c r="P151" s="153"/>
      <c r="Q151" s="153"/>
      <c r="R151" s="153"/>
      <c r="S151" s="153"/>
      <c r="T151" s="153"/>
      <c r="U151" s="153"/>
      <c r="V151" s="153"/>
      <c r="W151" s="153"/>
    </row>
    <row r="152" spans="1:23" s="14" customFormat="1" ht="12.75" customHeight="1" outlineLevel="1">
      <c r="A152" s="63"/>
      <c r="B152" s="90"/>
      <c r="C152" s="109"/>
      <c r="D152" s="109"/>
      <c r="E152" s="57"/>
      <c r="F152" s="387"/>
      <c r="G152" s="82"/>
      <c r="H152" s="82"/>
      <c r="I152" s="82"/>
      <c r="J152" s="153"/>
      <c r="K152" s="153"/>
      <c r="L152" s="153"/>
      <c r="M152" s="153"/>
      <c r="N152" s="153"/>
      <c r="O152" s="153"/>
      <c r="P152" s="153"/>
      <c r="Q152" s="153"/>
      <c r="R152" s="153"/>
      <c r="S152" s="153"/>
      <c r="T152" s="153"/>
      <c r="U152" s="153"/>
      <c r="V152" s="153"/>
      <c r="W152" s="153"/>
    </row>
    <row r="153" spans="1:23" s="391" customFormat="1" ht="13.8" outlineLevel="1">
      <c r="A153" s="386"/>
      <c r="B153" s="387" t="s">
        <v>228</v>
      </c>
      <c r="C153" s="387"/>
      <c r="D153" s="387"/>
      <c r="E153" s="388"/>
      <c r="F153" s="387"/>
      <c r="G153" s="389"/>
      <c r="H153" s="390"/>
    </row>
    <row r="154" spans="1:23" s="391" customFormat="1" ht="13.8" outlineLevel="1">
      <c r="A154" s="386"/>
      <c r="B154" s="387"/>
      <c r="C154" s="387"/>
      <c r="D154" s="387"/>
      <c r="E154" s="388" t="s">
        <v>229</v>
      </c>
      <c r="F154" s="392">
        <v>1E-4</v>
      </c>
      <c r="G154" s="389" t="s">
        <v>230</v>
      </c>
      <c r="H154" s="390"/>
    </row>
    <row r="155" spans="1:23" s="391" customFormat="1" ht="13.8" outlineLevel="1">
      <c r="A155" s="386"/>
      <c r="B155" s="387"/>
      <c r="C155" s="387"/>
      <c r="D155" s="387"/>
      <c r="E155" s="388"/>
      <c r="F155" s="387"/>
      <c r="G155" s="389"/>
      <c r="H155" s="390"/>
    </row>
    <row r="156" spans="1:23" s="391" customFormat="1" outlineLevel="1">
      <c r="A156" s="393"/>
      <c r="B156" s="394"/>
      <c r="C156" s="394"/>
      <c r="D156" s="395"/>
      <c r="E156" s="396" t="s">
        <v>231</v>
      </c>
      <c r="F156" s="397">
        <v>1E-3</v>
      </c>
      <c r="G156" s="398" t="s">
        <v>230</v>
      </c>
      <c r="H156" s="398"/>
    </row>
    <row r="157" spans="1:23" ht="12.75" customHeight="1" outlineLevel="1">
      <c r="B157" s="49"/>
      <c r="C157" s="20"/>
      <c r="D157" s="109"/>
      <c r="E157" s="132"/>
      <c r="F157" s="344"/>
      <c r="G157" s="345"/>
      <c r="H157" s="345"/>
      <c r="I157" s="342"/>
      <c r="J157" s="343"/>
      <c r="K157" s="343"/>
      <c r="L157" s="343"/>
      <c r="M157" s="343"/>
      <c r="N157" s="343"/>
      <c r="O157" s="343"/>
      <c r="P157" s="343"/>
      <c r="Q157" s="343"/>
      <c r="R157" s="343"/>
      <c r="S157" s="343"/>
      <c r="T157" s="343"/>
      <c r="U157" s="343"/>
      <c r="V157" s="343"/>
      <c r="W157" s="343"/>
    </row>
    <row r="158" spans="1:23" s="118" customFormat="1">
      <c r="A158" s="118" t="s">
        <v>232</v>
      </c>
      <c r="C158" s="119"/>
      <c r="D158" s="120"/>
      <c r="E158" s="119"/>
      <c r="F158" s="346"/>
      <c r="G158" s="347"/>
      <c r="H158" s="347"/>
      <c r="I158" s="347"/>
      <c r="J158" s="347"/>
      <c r="K158" s="347"/>
      <c r="L158" s="347"/>
      <c r="M158" s="347"/>
      <c r="N158" s="347"/>
      <c r="O158" s="347"/>
      <c r="P158" s="347"/>
      <c r="Q158" s="347"/>
      <c r="R158" s="347"/>
      <c r="S158" s="347"/>
      <c r="T158" s="347"/>
      <c r="U158" s="347"/>
      <c r="V158" s="347"/>
      <c r="W158" s="347"/>
    </row>
    <row r="159" spans="1:23" hidden="1">
      <c r="F159" s="74"/>
      <c r="G159" s="74"/>
      <c r="H159" s="74"/>
      <c r="I159" s="74"/>
      <c r="J159" s="74"/>
      <c r="K159" s="74"/>
      <c r="L159" s="74"/>
      <c r="M159" s="74"/>
      <c r="N159" s="74"/>
      <c r="O159" s="74"/>
      <c r="P159" s="74"/>
      <c r="Q159" s="74"/>
      <c r="R159" s="74"/>
      <c r="S159" s="74"/>
      <c r="T159" s="74"/>
      <c r="U159" s="74"/>
      <c r="V159" s="74"/>
      <c r="W159" s="74"/>
    </row>
    <row r="160" spans="1:23">
      <c r="F160" s="74"/>
      <c r="G160" s="74"/>
      <c r="H160" s="74"/>
      <c r="I160" s="74"/>
      <c r="J160" s="74"/>
      <c r="K160" s="74"/>
      <c r="L160" s="74"/>
      <c r="M160" s="74"/>
      <c r="N160" s="74"/>
      <c r="O160" s="74"/>
      <c r="P160" s="74"/>
      <c r="Q160" s="74"/>
      <c r="R160" s="74"/>
      <c r="S160" s="74"/>
      <c r="T160" s="74"/>
      <c r="U160" s="74"/>
      <c r="V160" s="74"/>
      <c r="W160" s="74"/>
    </row>
    <row r="173"/>
    <row r="174"/>
    <row r="175"/>
    <row r="176"/>
    <row r="177"/>
    <row r="178"/>
    <row r="179"/>
    <row r="180"/>
    <row r="181"/>
    <row r="191"/>
    <row r="192"/>
    <row r="193"/>
    <row r="194"/>
    <row r="195"/>
    <row r="196"/>
    <row r="197"/>
    <row r="198"/>
    <row r="199"/>
  </sheetData>
  <conditionalFormatting sqref="C12:D12 C15:D16">
    <cfRule type="cellIs" dxfId="106" priority="934" stopIfTrue="1" operator="equal">
      <formula>"N/A"</formula>
    </cfRule>
    <cfRule type="cellIs" dxfId="105" priority="935" stopIfTrue="1" operator="notEqual">
      <formula>""</formula>
    </cfRule>
  </conditionalFormatting>
  <conditionalFormatting sqref="J3:W3">
    <cfRule type="cellIs" dxfId="104" priority="24" stopIfTrue="1" operator="equal">
      <formula>$F$20</formula>
    </cfRule>
    <cfRule type="cellIs" dxfId="103" priority="25" stopIfTrue="1" operator="equal">
      <formula>$F$19</formula>
    </cfRule>
  </conditionalFormatting>
  <conditionalFormatting sqref="E157:E1048576 E2:E30 E35:E38 E40:E82 E90:E100 E102:E152">
    <cfRule type="duplicateValues" dxfId="102" priority="23"/>
  </conditionalFormatting>
  <conditionalFormatting sqref="E33:E34">
    <cfRule type="duplicateValues" dxfId="101" priority="19"/>
  </conditionalFormatting>
  <conditionalFormatting sqref="F109">
    <cfRule type="cellIs" dxfId="100" priority="15" stopIfTrue="1" operator="notEqual">
      <formula>0</formula>
    </cfRule>
    <cfRule type="cellIs" dxfId="99" priority="16" stopIfTrue="1" operator="equal">
      <formula>""</formula>
    </cfRule>
  </conditionalFormatting>
  <conditionalFormatting sqref="F2">
    <cfRule type="cellIs" dxfId="98" priority="11" stopIfTrue="1" operator="notEqual">
      <formula>0</formula>
    </cfRule>
    <cfRule type="cellIs" dxfId="97" priority="12" stopIfTrue="1" operator="equal">
      <formula>""</formula>
    </cfRule>
  </conditionalFormatting>
  <conditionalFormatting sqref="F3">
    <cfRule type="cellIs" dxfId="96" priority="9" stopIfTrue="1" operator="notEqual">
      <formula>0</formula>
    </cfRule>
    <cfRule type="cellIs" dxfId="95" priority="10" stopIfTrue="1" operator="equal">
      <formula>""</formula>
    </cfRule>
  </conditionalFormatting>
  <conditionalFormatting sqref="F127">
    <cfRule type="cellIs" dxfId="94" priority="7" stopIfTrue="1" operator="notEqual">
      <formula>0</formula>
    </cfRule>
    <cfRule type="cellIs" dxfId="93" priority="8" stopIfTrue="1" operator="equal">
      <formula>""</formula>
    </cfRule>
  </conditionalFormatting>
  <conditionalFormatting sqref="E39">
    <cfRule type="duplicateValues" dxfId="92" priority="6"/>
  </conditionalFormatting>
  <conditionalFormatting sqref="E83:E89">
    <cfRule type="duplicateValues" dxfId="91" priority="5"/>
  </conditionalFormatting>
  <conditionalFormatting sqref="F89">
    <cfRule type="cellIs" dxfId="90" priority="3" stopIfTrue="1" operator="notEqual">
      <formula>0</formula>
    </cfRule>
    <cfRule type="cellIs" dxfId="89" priority="4" stopIfTrue="1" operator="equal">
      <formula>""</formula>
    </cfRule>
  </conditionalFormatting>
  <conditionalFormatting sqref="E31">
    <cfRule type="duplicateValues" dxfId="88" priority="940"/>
  </conditionalFormatting>
  <conditionalFormatting sqref="F145">
    <cfRule type="cellIs" dxfId="87" priority="1" stopIfTrue="1" operator="notEqual">
      <formula>0</formula>
    </cfRule>
    <cfRule type="cellIs" dxfId="86" priority="2" stopIfTrue="1" operator="equal">
      <formula>""</formula>
    </cfRule>
  </conditionalFormatting>
  <dataValidations disablePrompts="1" count="1">
    <dataValidation type="list" allowBlank="1" showInputMessage="1" showErrorMessage="1" sqref="F49" xr:uid="{00000000-0002-0000-0300-000000000000}">
      <formula1>"WaSC, WoC"</formula1>
    </dataValidation>
  </dataValidations>
  <pageMargins left="0.7" right="0.7" top="0.75" bottom="0.75" header="0.3" footer="0.3"/>
  <pageSetup paperSize="9" scale="30" fitToHeight="0" orientation="portrait" r:id="rId1"/>
  <headerFooter>
    <oddHeader>&amp;LPage &amp;P of &amp;N&amp;CSheet: &amp;A&amp;ROFFICIAL SENSITIVE</oddHeader>
    <oddFooter>&amp;L&amp;F printed on &amp;D at &amp;T&amp;ROFWAT</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5">
    <outlinePr summaryBelow="0" summaryRight="0"/>
  </sheetPr>
  <dimension ref="A1:X134"/>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outlineLevelRow="1"/>
  <cols>
    <col min="1" max="2" width="1.44140625" style="90" customWidth="1"/>
    <col min="3" max="3" width="1.44140625" style="91" customWidth="1"/>
    <col min="4" max="4" width="1.44140625" style="58" customWidth="1"/>
    <col min="5" max="5" width="34.5546875" bestFit="1" customWidth="1"/>
    <col min="6" max="6" width="12.5546875" customWidth="1"/>
    <col min="7" max="7" width="11.5546875" customWidth="1"/>
    <col min="8" max="8" width="15.5546875" customWidth="1"/>
    <col min="9" max="9" width="2.5546875" style="6" customWidth="1"/>
    <col min="10" max="23" width="12.5546875" customWidth="1"/>
    <col min="24" max="24" width="0" hidden="1" customWidth="1"/>
    <col min="25" max="16384" width="9.109375" hidden="1"/>
  </cols>
  <sheetData>
    <row r="1" spans="1:23" ht="28.2">
      <c r="A1" s="213" t="str">
        <f ca="1" xml:space="preserve"> RIGHT(CELL("FILENAME", $A$1), LEN(CELL("FILENAME", $A$1)) - SEARCH("]", CELL("FILENAME", $A$1)))</f>
        <v>Time</v>
      </c>
      <c r="B1" s="213"/>
      <c r="C1" s="213"/>
      <c r="D1" s="213"/>
      <c r="E1" s="213"/>
      <c r="F1" s="213"/>
      <c r="G1" s="213"/>
      <c r="H1" s="213"/>
      <c r="I1" s="213"/>
      <c r="J1" s="213"/>
      <c r="K1" s="213"/>
      <c r="L1" s="213"/>
      <c r="M1" s="213"/>
      <c r="N1" s="213"/>
      <c r="O1" s="213"/>
      <c r="P1" s="213"/>
      <c r="Q1" s="213"/>
      <c r="R1" s="213"/>
      <c r="S1" s="213"/>
      <c r="T1" s="213"/>
      <c r="U1" s="213"/>
      <c r="V1" s="213"/>
      <c r="W1" s="213"/>
    </row>
    <row r="2" spans="1:23">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E3" s="109" t="str">
        <f xml:space="preserve"> Time!E$105</f>
        <v>Timeline label</v>
      </c>
      <c r="F3" s="158">
        <f xml:space="preserve"> Check!F$24</f>
        <v>3</v>
      </c>
      <c r="G3" s="82" t="str">
        <f xml:space="preserve"> Check!G$24</f>
        <v>Alerts</v>
      </c>
      <c r="H3" s="109"/>
      <c r="I3" s="58"/>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E4" s="58" t="str">
        <f xml:space="preserve"> Time!E$127</f>
        <v>Financial year ending</v>
      </c>
      <c r="F4" s="25"/>
      <c r="G4" s="25"/>
      <c r="H4" s="109"/>
      <c r="I4" s="58"/>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233</v>
      </c>
      <c r="B7" s="115"/>
      <c r="C7" s="114"/>
      <c r="D7" s="115"/>
      <c r="E7" s="115"/>
      <c r="F7" s="115"/>
      <c r="G7" s="115"/>
      <c r="H7" s="115"/>
      <c r="I7" s="115"/>
      <c r="J7" s="115"/>
      <c r="K7" s="115"/>
      <c r="L7" s="115"/>
      <c r="M7" s="115"/>
      <c r="N7" s="115"/>
      <c r="O7" s="115"/>
      <c r="P7" s="115"/>
      <c r="Q7" s="115"/>
      <c r="R7" s="115"/>
      <c r="S7" s="115"/>
      <c r="T7" s="115"/>
      <c r="U7" s="115"/>
      <c r="V7" s="115"/>
      <c r="W7" s="115"/>
    </row>
    <row r="8" spans="1:23" collapsed="1">
      <c r="E8" s="109"/>
      <c r="F8" s="109"/>
      <c r="G8" s="109"/>
      <c r="H8" s="109"/>
      <c r="I8" s="58"/>
      <c r="J8" s="109"/>
      <c r="K8" s="109"/>
      <c r="L8" s="109"/>
      <c r="M8" s="109"/>
      <c r="N8" s="109"/>
      <c r="O8" s="109"/>
      <c r="P8" s="109"/>
      <c r="Q8" s="109"/>
      <c r="R8" s="109"/>
      <c r="S8" s="109"/>
      <c r="T8" s="109"/>
      <c r="U8" s="109"/>
      <c r="V8" s="109"/>
      <c r="W8" s="109"/>
    </row>
    <row r="9" spans="1:23" hidden="1" outlineLevel="1">
      <c r="B9" s="90" t="s">
        <v>234</v>
      </c>
      <c r="E9" s="109"/>
      <c r="F9" s="109"/>
      <c r="G9" s="109"/>
      <c r="H9" s="109"/>
      <c r="I9" s="58"/>
      <c r="J9" s="109"/>
      <c r="K9" s="109"/>
      <c r="L9" s="109"/>
      <c r="M9" s="109"/>
      <c r="N9" s="109"/>
      <c r="O9" s="109"/>
      <c r="P9" s="109"/>
      <c r="Q9" s="109"/>
      <c r="R9" s="109"/>
      <c r="S9" s="109"/>
      <c r="T9" s="109"/>
      <c r="U9" s="109"/>
      <c r="V9" s="109"/>
      <c r="W9" s="109"/>
    </row>
    <row r="10" spans="1:23" hidden="1" outlineLevel="1">
      <c r="E10" s="17" t="s">
        <v>235</v>
      </c>
      <c r="F10" s="17"/>
      <c r="G10" s="17" t="s">
        <v>236</v>
      </c>
      <c r="H10" s="17"/>
      <c r="I10" s="17"/>
      <c r="J10" s="229">
        <f t="shared" ref="J10:W10" si="0" xml:space="preserve"> I10 + 1</f>
        <v>1</v>
      </c>
      <c r="K10" s="229">
        <f t="shared" si="0"/>
        <v>2</v>
      </c>
      <c r="L10" s="229">
        <f t="shared" si="0"/>
        <v>3</v>
      </c>
      <c r="M10" s="229">
        <f t="shared" si="0"/>
        <v>4</v>
      </c>
      <c r="N10" s="229">
        <f t="shared" si="0"/>
        <v>5</v>
      </c>
      <c r="O10" s="229">
        <f t="shared" si="0"/>
        <v>6</v>
      </c>
      <c r="P10" s="229">
        <f t="shared" si="0"/>
        <v>7</v>
      </c>
      <c r="Q10" s="229">
        <f t="shared" si="0"/>
        <v>8</v>
      </c>
      <c r="R10" s="229">
        <f t="shared" si="0"/>
        <v>9</v>
      </c>
      <c r="S10" s="229">
        <f t="shared" si="0"/>
        <v>10</v>
      </c>
      <c r="T10" s="229">
        <f t="shared" si="0"/>
        <v>11</v>
      </c>
      <c r="U10" s="229">
        <f t="shared" si="0"/>
        <v>12</v>
      </c>
      <c r="V10" s="229">
        <f t="shared" si="0"/>
        <v>13</v>
      </c>
      <c r="W10" s="229">
        <f t="shared" si="0"/>
        <v>14</v>
      </c>
    </row>
    <row r="11" spans="1:23" hidden="1" outlineLevel="1">
      <c r="E11" s="101" t="s">
        <v>237</v>
      </c>
      <c r="F11" s="11">
        <f xml:space="preserve"> MAX(J10:W10)</f>
        <v>14</v>
      </c>
      <c r="G11" s="101" t="s">
        <v>238</v>
      </c>
      <c r="H11" s="101"/>
      <c r="I11" s="101"/>
      <c r="J11" s="101"/>
      <c r="K11" s="101"/>
      <c r="L11" s="101"/>
      <c r="M11" s="101"/>
      <c r="N11" s="101"/>
      <c r="O11" s="101"/>
      <c r="P11" s="101"/>
      <c r="Q11" s="101"/>
      <c r="R11" s="101"/>
      <c r="S11" s="101"/>
      <c r="T11" s="101"/>
      <c r="U11" s="101"/>
      <c r="V11" s="101"/>
      <c r="W11" s="101"/>
    </row>
    <row r="12" spans="1:23" hidden="1" outlineLevel="1">
      <c r="E12" s="57"/>
      <c r="F12" s="57"/>
      <c r="G12" s="57"/>
      <c r="H12" s="57"/>
      <c r="I12" s="101"/>
      <c r="J12" s="57"/>
      <c r="K12" s="57"/>
      <c r="L12" s="57"/>
      <c r="M12" s="57"/>
      <c r="N12" s="57"/>
      <c r="O12" s="57"/>
      <c r="P12" s="57"/>
      <c r="Q12" s="57"/>
      <c r="R12" s="57"/>
      <c r="S12" s="57"/>
      <c r="T12" s="57"/>
      <c r="U12" s="57"/>
      <c r="V12" s="57"/>
      <c r="W12" s="57"/>
    </row>
    <row r="13" spans="1:23" hidden="1" outlineLevel="1">
      <c r="E13" s="48" t="str">
        <f t="shared" ref="E13:S13" si="1" xml:space="preserve"> E$10</f>
        <v>Model column counter</v>
      </c>
      <c r="F13" s="48">
        <f t="shared" si="1"/>
        <v>0</v>
      </c>
      <c r="G13" s="48" t="str">
        <f t="shared" si="1"/>
        <v>counter</v>
      </c>
      <c r="H13" s="48">
        <f t="shared" si="1"/>
        <v>0</v>
      </c>
      <c r="I13" s="48">
        <f t="shared" si="1"/>
        <v>0</v>
      </c>
      <c r="J13" s="101">
        <f t="shared" si="1"/>
        <v>1</v>
      </c>
      <c r="K13" s="101">
        <f t="shared" si="1"/>
        <v>2</v>
      </c>
      <c r="L13" s="101">
        <f t="shared" si="1"/>
        <v>3</v>
      </c>
      <c r="M13" s="101">
        <f t="shared" si="1"/>
        <v>4</v>
      </c>
      <c r="N13" s="101">
        <f t="shared" si="1"/>
        <v>5</v>
      </c>
      <c r="O13" s="101">
        <f t="shared" si="1"/>
        <v>6</v>
      </c>
      <c r="P13" s="101">
        <f t="shared" si="1"/>
        <v>7</v>
      </c>
      <c r="Q13" s="101">
        <f t="shared" si="1"/>
        <v>8</v>
      </c>
      <c r="R13" s="101">
        <f t="shared" si="1"/>
        <v>9</v>
      </c>
      <c r="S13" s="101">
        <f t="shared" si="1"/>
        <v>10</v>
      </c>
      <c r="T13" s="101">
        <f xml:space="preserve"> T$10</f>
        <v>11</v>
      </c>
      <c r="U13" s="101">
        <f xml:space="preserve"> U$10</f>
        <v>12</v>
      </c>
      <c r="V13" s="101">
        <f xml:space="preserve"> V$10</f>
        <v>13</v>
      </c>
      <c r="W13" s="101">
        <f xml:space="preserve"> W$10</f>
        <v>14</v>
      </c>
    </row>
    <row r="14" spans="1:23" hidden="1" outlineLevel="1">
      <c r="E14" s="101" t="s">
        <v>239</v>
      </c>
      <c r="F14" s="101"/>
      <c r="G14" s="101" t="s">
        <v>240</v>
      </c>
      <c r="H14" s="101">
        <f xml:space="preserve"> SUM(J14:W14)</f>
        <v>1</v>
      </c>
      <c r="I14" s="101"/>
      <c r="J14" s="101">
        <f t="shared" ref="J14:R14" si="2" xml:space="preserve"> IF(J13 = 1, 1, 0)</f>
        <v>1</v>
      </c>
      <c r="K14" s="101">
        <f t="shared" si="2"/>
        <v>0</v>
      </c>
      <c r="L14" s="101">
        <f t="shared" si="2"/>
        <v>0</v>
      </c>
      <c r="M14" s="101">
        <f t="shared" si="2"/>
        <v>0</v>
      </c>
      <c r="N14" s="101">
        <f t="shared" si="2"/>
        <v>0</v>
      </c>
      <c r="O14" s="101">
        <f t="shared" si="2"/>
        <v>0</v>
      </c>
      <c r="P14" s="101">
        <f t="shared" si="2"/>
        <v>0</v>
      </c>
      <c r="Q14" s="101">
        <f t="shared" si="2"/>
        <v>0</v>
      </c>
      <c r="R14" s="101">
        <f t="shared" si="2"/>
        <v>0</v>
      </c>
      <c r="S14" s="101">
        <f xml:space="preserve"> IF(S13 = 1, 1, 0)</f>
        <v>0</v>
      </c>
      <c r="T14" s="101">
        <f xml:space="preserve"> IF(T13 = 1, 1, 0)</f>
        <v>0</v>
      </c>
      <c r="U14" s="101">
        <f xml:space="preserve"> IF(U13 = 1, 1, 0)</f>
        <v>0</v>
      </c>
      <c r="V14" s="101">
        <f xml:space="preserve"> IF(V13 = 1, 1, 0)</f>
        <v>0</v>
      </c>
      <c r="W14" s="101">
        <f xml:space="preserve"> IF(W13 = 1, 1, 0)</f>
        <v>0</v>
      </c>
    </row>
    <row r="15" spans="1:23" hidden="1" outlineLevel="1">
      <c r="E15" s="101"/>
      <c r="F15" s="101"/>
      <c r="G15" s="101"/>
      <c r="H15" s="101"/>
      <c r="I15" s="101"/>
      <c r="J15" s="101"/>
      <c r="K15" s="101"/>
      <c r="L15" s="101"/>
      <c r="M15" s="101"/>
      <c r="N15" s="101"/>
      <c r="O15" s="101"/>
      <c r="P15" s="101"/>
      <c r="Q15" s="101"/>
      <c r="R15" s="101"/>
      <c r="S15" s="101"/>
      <c r="T15" s="101"/>
      <c r="U15" s="101"/>
      <c r="V15" s="101"/>
      <c r="W15" s="101"/>
    </row>
    <row r="16" spans="1:23" hidden="1" outlineLevel="1">
      <c r="B16" s="90" t="s">
        <v>241</v>
      </c>
      <c r="E16" s="101"/>
      <c r="F16" s="101"/>
      <c r="G16" s="101"/>
      <c r="H16" s="101"/>
      <c r="I16" s="101"/>
      <c r="J16" s="101"/>
      <c r="K16" s="101"/>
      <c r="L16" s="101"/>
      <c r="M16" s="93"/>
      <c r="N16" s="101"/>
      <c r="O16" s="101"/>
      <c r="P16" s="101"/>
      <c r="Q16" s="101"/>
      <c r="R16" s="101"/>
      <c r="S16" s="101"/>
      <c r="T16" s="101"/>
      <c r="U16" s="101"/>
      <c r="V16" s="101"/>
      <c r="W16" s="101"/>
    </row>
    <row r="17" spans="1:23" hidden="1" outlineLevel="1">
      <c r="E17" s="137" t="str">
        <f xml:space="preserve"> Inputs!E$12</f>
        <v>1st model column start date</v>
      </c>
      <c r="F17" s="15">
        <f xml:space="preserve"> Inputs!F$12</f>
        <v>41730</v>
      </c>
      <c r="G17" s="137" t="str">
        <f xml:space="preserve"> Inputs!G$12</f>
        <v>date</v>
      </c>
      <c r="H17" s="137" t="str">
        <f xml:space="preserve"> Inputs!H$12</f>
        <v>Date should be the first date of the financial year</v>
      </c>
      <c r="I17" s="137">
        <f xml:space="preserve"> Inputs!I$12</f>
        <v>0</v>
      </c>
      <c r="J17" s="137">
        <f xml:space="preserve"> Inputs!J$12</f>
        <v>0</v>
      </c>
      <c r="K17" s="137">
        <f xml:space="preserve"> Inputs!K$12</f>
        <v>0</v>
      </c>
      <c r="L17" s="137">
        <f xml:space="preserve"> Inputs!L$12</f>
        <v>0</v>
      </c>
      <c r="M17" s="137">
        <f xml:space="preserve"> Inputs!M$12</f>
        <v>0</v>
      </c>
      <c r="N17" s="137">
        <f xml:space="preserve"> Inputs!N$12</f>
        <v>0</v>
      </c>
      <c r="O17" s="137">
        <f xml:space="preserve"> Inputs!O$12</f>
        <v>0</v>
      </c>
      <c r="P17" s="137">
        <f xml:space="preserve"> Inputs!P$12</f>
        <v>0</v>
      </c>
      <c r="Q17" s="137">
        <f xml:space="preserve"> Inputs!Q$12</f>
        <v>0</v>
      </c>
      <c r="R17" s="137">
        <f xml:space="preserve"> Inputs!R$12</f>
        <v>0</v>
      </c>
      <c r="S17" s="137">
        <f xml:space="preserve"> Inputs!S$12</f>
        <v>0</v>
      </c>
      <c r="T17" s="137">
        <f xml:space="preserve"> Inputs!T$12</f>
        <v>0</v>
      </c>
      <c r="U17" s="137">
        <f xml:space="preserve"> Inputs!U$12</f>
        <v>0</v>
      </c>
      <c r="V17" s="137">
        <f xml:space="preserve"> Inputs!V$12</f>
        <v>0</v>
      </c>
      <c r="W17" s="137">
        <f xml:space="preserve"> Inputs!W$12</f>
        <v>0</v>
      </c>
    </row>
    <row r="18" spans="1:23" hidden="1" outlineLevel="1">
      <c r="E18" s="113" t="str">
        <f xml:space="preserve"> Inputs!E$149</f>
        <v>Months per model period</v>
      </c>
      <c r="F18" s="113">
        <f xml:space="preserve"> Inputs!F$149</f>
        <v>12</v>
      </c>
      <c r="G18" s="113" t="str">
        <f xml:space="preserve"> Inputs!G$149</f>
        <v>months</v>
      </c>
      <c r="H18" s="113">
        <f xml:space="preserve"> Inputs!H$149</f>
        <v>0</v>
      </c>
      <c r="I18" s="113">
        <f xml:space="preserve"> Inputs!I$149</f>
        <v>0</v>
      </c>
      <c r="J18" s="113">
        <f xml:space="preserve"> Inputs!J$149</f>
        <v>0</v>
      </c>
      <c r="K18" s="113">
        <f xml:space="preserve"> Inputs!K$149</f>
        <v>0</v>
      </c>
      <c r="L18" s="113">
        <f xml:space="preserve"> Inputs!L$149</f>
        <v>0</v>
      </c>
      <c r="M18" s="113">
        <f xml:space="preserve"> Inputs!M$149</f>
        <v>0</v>
      </c>
      <c r="N18" s="113">
        <f xml:space="preserve"> Inputs!N$149</f>
        <v>0</v>
      </c>
      <c r="O18" s="113">
        <f xml:space="preserve"> Inputs!O$149</f>
        <v>0</v>
      </c>
      <c r="P18" s="113">
        <f xml:space="preserve"> Inputs!P$149</f>
        <v>0</v>
      </c>
      <c r="Q18" s="113">
        <f xml:space="preserve"> Inputs!Q$149</f>
        <v>0</v>
      </c>
      <c r="R18" s="113">
        <f xml:space="preserve"> Inputs!R$149</f>
        <v>0</v>
      </c>
      <c r="S18" s="113">
        <f xml:space="preserve"> Inputs!S$149</f>
        <v>0</v>
      </c>
      <c r="T18" s="113">
        <f xml:space="preserve"> Inputs!T$149</f>
        <v>0</v>
      </c>
      <c r="U18" s="113">
        <f xml:space="preserve"> Inputs!U$149</f>
        <v>0</v>
      </c>
      <c r="V18" s="113">
        <f xml:space="preserve"> Inputs!V$149</f>
        <v>0</v>
      </c>
      <c r="W18" s="113">
        <f xml:space="preserve"> Inputs!W$149</f>
        <v>0</v>
      </c>
    </row>
    <row r="19" spans="1:23" hidden="1" outlineLevel="1">
      <c r="E19" s="57" t="str">
        <f t="shared" ref="E19:S19" si="3" xml:space="preserve"> E$14</f>
        <v>1st model column flag</v>
      </c>
      <c r="F19" s="57">
        <f t="shared" si="3"/>
        <v>0</v>
      </c>
      <c r="G19" s="57" t="str">
        <f t="shared" si="3"/>
        <v>flag</v>
      </c>
      <c r="H19" s="57">
        <f t="shared" si="3"/>
        <v>1</v>
      </c>
      <c r="I19" s="57">
        <f t="shared" si="3"/>
        <v>0</v>
      </c>
      <c r="J19" s="57">
        <f xml:space="preserve"> J$14</f>
        <v>1</v>
      </c>
      <c r="K19" s="57">
        <f t="shared" si="3"/>
        <v>0</v>
      </c>
      <c r="L19" s="57">
        <f t="shared" si="3"/>
        <v>0</v>
      </c>
      <c r="M19" s="57">
        <f t="shared" si="3"/>
        <v>0</v>
      </c>
      <c r="N19" s="57">
        <f t="shared" si="3"/>
        <v>0</v>
      </c>
      <c r="O19" s="57">
        <f t="shared" si="3"/>
        <v>0</v>
      </c>
      <c r="P19" s="57">
        <f t="shared" si="3"/>
        <v>0</v>
      </c>
      <c r="Q19" s="57">
        <f t="shared" si="3"/>
        <v>0</v>
      </c>
      <c r="R19" s="57">
        <f t="shared" si="3"/>
        <v>0</v>
      </c>
      <c r="S19" s="57">
        <f t="shared" si="3"/>
        <v>0</v>
      </c>
      <c r="T19" s="57">
        <f xml:space="preserve"> T$14</f>
        <v>0</v>
      </c>
      <c r="U19" s="57">
        <f xml:space="preserve"> U$14</f>
        <v>0</v>
      </c>
      <c r="V19" s="57">
        <f xml:space="preserve"> V$14</f>
        <v>0</v>
      </c>
      <c r="W19" s="57">
        <f xml:space="preserve"> W$14</f>
        <v>0</v>
      </c>
    </row>
    <row r="20" spans="1:23" hidden="1" outlineLevel="1">
      <c r="E20" s="57" t="s">
        <v>241</v>
      </c>
      <c r="F20" s="9"/>
      <c r="G20" s="26" t="s">
        <v>143</v>
      </c>
      <c r="H20" s="57"/>
      <c r="I20" s="10"/>
      <c r="J20" s="10">
        <f t="shared" ref="J20:R20" si="4" xml:space="preserve"> IF(J19 = 1, $F17, DATE(YEAR(I20), MONTH(I20) + $F18, DAY(1)))</f>
        <v>41730</v>
      </c>
      <c r="K20" s="10">
        <f t="shared" si="4"/>
        <v>42095</v>
      </c>
      <c r="L20" s="10">
        <f t="shared" si="4"/>
        <v>42461</v>
      </c>
      <c r="M20" s="10">
        <f t="shared" si="4"/>
        <v>42826</v>
      </c>
      <c r="N20" s="10">
        <f t="shared" si="4"/>
        <v>43191</v>
      </c>
      <c r="O20" s="10">
        <f t="shared" si="4"/>
        <v>43556</v>
      </c>
      <c r="P20" s="10">
        <f t="shared" si="4"/>
        <v>43922</v>
      </c>
      <c r="Q20" s="10">
        <f t="shared" si="4"/>
        <v>44287</v>
      </c>
      <c r="R20" s="10">
        <f t="shared" si="4"/>
        <v>44652</v>
      </c>
      <c r="S20" s="10">
        <f xml:space="preserve"> IF(S19 = 1, $F17, DATE(YEAR(R20), MONTH(R20) + $F18, DAY(1)))</f>
        <v>45017</v>
      </c>
      <c r="T20" s="10">
        <f xml:space="preserve"> IF(T19 = 1, $F17, DATE(YEAR(S20), MONTH(S20) + $F18, DAY(1)))</f>
        <v>45383</v>
      </c>
      <c r="U20" s="10">
        <f xml:space="preserve"> IF(U19 = 1, $F17, DATE(YEAR(T20), MONTH(T20) + $F18, DAY(1)))</f>
        <v>45748</v>
      </c>
      <c r="V20" s="10">
        <f xml:space="preserve"> IF(V19 = 1, $F17, DATE(YEAR(U20), MONTH(U20) + $F18, DAY(1)))</f>
        <v>46113</v>
      </c>
      <c r="W20" s="10">
        <f xml:space="preserve"> IF(W19 = 1, $F17, DATE(YEAR(V20), MONTH(V20) + $F18, DAY(1)))</f>
        <v>46478</v>
      </c>
    </row>
    <row r="21" spans="1:23" hidden="1" outlineLevel="1">
      <c r="E21" s="101"/>
      <c r="F21" s="9"/>
      <c r="G21" s="7"/>
      <c r="H21" s="101"/>
      <c r="I21" s="10"/>
      <c r="J21" s="10"/>
      <c r="K21" s="10"/>
      <c r="L21" s="10"/>
      <c r="M21" s="10"/>
      <c r="N21" s="10"/>
      <c r="O21" s="10"/>
      <c r="P21" s="10"/>
      <c r="Q21" s="10"/>
      <c r="R21" s="10"/>
      <c r="S21" s="10"/>
      <c r="T21" s="10"/>
      <c r="U21" s="10"/>
      <c r="V21" s="10"/>
      <c r="W21" s="10"/>
    </row>
    <row r="22" spans="1:23" hidden="1" outlineLevel="1">
      <c r="B22" s="90" t="s">
        <v>242</v>
      </c>
      <c r="E22" s="101"/>
      <c r="F22" s="9"/>
      <c r="G22" s="7"/>
      <c r="H22" s="101"/>
      <c r="I22" s="10"/>
      <c r="J22" s="10"/>
      <c r="K22" s="10"/>
      <c r="L22" s="10"/>
      <c r="M22" s="10"/>
      <c r="N22" s="10"/>
      <c r="O22" s="10"/>
      <c r="P22" s="10"/>
      <c r="Q22" s="10"/>
      <c r="R22" s="10"/>
      <c r="S22" s="10"/>
      <c r="T22" s="10"/>
      <c r="U22" s="10"/>
      <c r="V22" s="10"/>
      <c r="W22" s="10"/>
    </row>
    <row r="23" spans="1:23" hidden="1" outlineLevel="1">
      <c r="E23" s="113" t="str">
        <f xml:space="preserve"> Inputs!E$149</f>
        <v>Months per model period</v>
      </c>
      <c r="F23" s="113">
        <f xml:space="preserve"> Inputs!F$149</f>
        <v>12</v>
      </c>
      <c r="G23" s="113" t="str">
        <f xml:space="preserve"> Inputs!G$149</f>
        <v>months</v>
      </c>
      <c r="H23" s="113">
        <f xml:space="preserve"> Inputs!H$149</f>
        <v>0</v>
      </c>
      <c r="I23" s="113">
        <f xml:space="preserve"> Inputs!I$149</f>
        <v>0</v>
      </c>
      <c r="J23" s="113">
        <f xml:space="preserve"> Inputs!J$149</f>
        <v>0</v>
      </c>
      <c r="K23" s="113">
        <f xml:space="preserve"> Inputs!K$149</f>
        <v>0</v>
      </c>
      <c r="L23" s="113">
        <f xml:space="preserve"> Inputs!L$149</f>
        <v>0</v>
      </c>
      <c r="M23" s="113">
        <f xml:space="preserve"> Inputs!M$149</f>
        <v>0</v>
      </c>
      <c r="N23" s="113">
        <f xml:space="preserve"> Inputs!N$149</f>
        <v>0</v>
      </c>
      <c r="O23" s="113">
        <f xml:space="preserve"> Inputs!O$149</f>
        <v>0</v>
      </c>
      <c r="P23" s="113">
        <f xml:space="preserve"> Inputs!P$149</f>
        <v>0</v>
      </c>
      <c r="Q23" s="113">
        <f xml:space="preserve"> Inputs!Q$149</f>
        <v>0</v>
      </c>
      <c r="R23" s="113">
        <f xml:space="preserve"> Inputs!R$149</f>
        <v>0</v>
      </c>
      <c r="S23" s="113">
        <f xml:space="preserve"> Inputs!S$149</f>
        <v>0</v>
      </c>
      <c r="T23" s="113">
        <f xml:space="preserve"> Inputs!T$149</f>
        <v>0</v>
      </c>
      <c r="U23" s="113">
        <f xml:space="preserve"> Inputs!U$149</f>
        <v>0</v>
      </c>
      <c r="V23" s="113">
        <f xml:space="preserve"> Inputs!V$149</f>
        <v>0</v>
      </c>
      <c r="W23" s="113">
        <f xml:space="preserve"> Inputs!W$149</f>
        <v>0</v>
      </c>
    </row>
    <row r="24" spans="1:23" hidden="1" outlineLevel="1">
      <c r="E24" s="13" t="str">
        <f t="shared" ref="E24:S24" si="5" xml:space="preserve"> E$20</f>
        <v>Model period beginning</v>
      </c>
      <c r="F24" s="13">
        <f t="shared" si="5"/>
        <v>0</v>
      </c>
      <c r="G24" s="13" t="str">
        <f t="shared" si="5"/>
        <v>date</v>
      </c>
      <c r="H24" s="13">
        <f t="shared" si="5"/>
        <v>0</v>
      </c>
      <c r="I24" s="13">
        <f t="shared" si="5"/>
        <v>0</v>
      </c>
      <c r="J24" s="10">
        <f t="shared" si="5"/>
        <v>41730</v>
      </c>
      <c r="K24" s="10">
        <f t="shared" si="5"/>
        <v>42095</v>
      </c>
      <c r="L24" s="10">
        <f t="shared" si="5"/>
        <v>42461</v>
      </c>
      <c r="M24" s="10">
        <f t="shared" si="5"/>
        <v>42826</v>
      </c>
      <c r="N24" s="10">
        <f t="shared" si="5"/>
        <v>43191</v>
      </c>
      <c r="O24" s="10">
        <f t="shared" si="5"/>
        <v>43556</v>
      </c>
      <c r="P24" s="10">
        <f t="shared" si="5"/>
        <v>43922</v>
      </c>
      <c r="Q24" s="10">
        <f t="shared" si="5"/>
        <v>44287</v>
      </c>
      <c r="R24" s="10">
        <f t="shared" si="5"/>
        <v>44652</v>
      </c>
      <c r="S24" s="10">
        <f t="shared" si="5"/>
        <v>45017</v>
      </c>
      <c r="T24" s="10">
        <f xml:space="preserve"> T$20</f>
        <v>45383</v>
      </c>
      <c r="U24" s="10">
        <f xml:space="preserve"> U$20</f>
        <v>45748</v>
      </c>
      <c r="V24" s="10">
        <f xml:space="preserve"> V$20</f>
        <v>46113</v>
      </c>
      <c r="W24" s="10">
        <f xml:space="preserve"> W$20</f>
        <v>46478</v>
      </c>
    </row>
    <row r="25" spans="1:23" hidden="1" outlineLevel="1">
      <c r="E25" s="87" t="s">
        <v>242</v>
      </c>
      <c r="F25" s="88"/>
      <c r="G25" s="87" t="s">
        <v>143</v>
      </c>
      <c r="H25" s="87"/>
      <c r="I25" s="89"/>
      <c r="J25" s="89">
        <f t="shared" ref="J25:R25" si="6" xml:space="preserve"> DATE(YEAR(J24), MONTH(J24) + $F23, DAY(J24) - 1)</f>
        <v>42094</v>
      </c>
      <c r="K25" s="89">
        <f t="shared" si="6"/>
        <v>42460</v>
      </c>
      <c r="L25" s="89">
        <f t="shared" si="6"/>
        <v>42825</v>
      </c>
      <c r="M25" s="89">
        <f t="shared" si="6"/>
        <v>43190</v>
      </c>
      <c r="N25" s="89">
        <f t="shared" si="6"/>
        <v>43555</v>
      </c>
      <c r="O25" s="89">
        <f t="shared" si="6"/>
        <v>43921</v>
      </c>
      <c r="P25" s="89">
        <f t="shared" si="6"/>
        <v>44286</v>
      </c>
      <c r="Q25" s="89">
        <f t="shared" si="6"/>
        <v>44651</v>
      </c>
      <c r="R25" s="89">
        <f t="shared" si="6"/>
        <v>45016</v>
      </c>
      <c r="S25" s="89">
        <f xml:space="preserve"> DATE(YEAR(S24), MONTH(S24) + $F23, DAY(S24) - 1)</f>
        <v>45382</v>
      </c>
      <c r="T25" s="89">
        <f xml:space="preserve"> DATE(YEAR(T24), MONTH(T24) + $F23, DAY(T24) - 1)</f>
        <v>45747</v>
      </c>
      <c r="U25" s="89">
        <f xml:space="preserve"> DATE(YEAR(U24), MONTH(U24) + $F23, DAY(U24) - 1)</f>
        <v>46112</v>
      </c>
      <c r="V25" s="89">
        <f xml:space="preserve"> DATE(YEAR(V24), MONTH(V24) + $F23, DAY(V24) - 1)</f>
        <v>46477</v>
      </c>
      <c r="W25" s="89">
        <f xml:space="preserve"> DATE(YEAR(W24), MONTH(W24) + $F23, DAY(W24) - 1)</f>
        <v>46843</v>
      </c>
    </row>
    <row r="26" spans="1:23" hidden="1" outlineLevel="1">
      <c r="E26" s="87"/>
      <c r="F26" s="88"/>
      <c r="G26" s="87"/>
      <c r="H26" s="87"/>
      <c r="I26" s="89"/>
      <c r="J26" s="89"/>
      <c r="K26" s="89"/>
      <c r="L26" s="89"/>
      <c r="M26" s="89"/>
      <c r="N26" s="89"/>
      <c r="O26" s="89"/>
      <c r="P26" s="89"/>
      <c r="Q26" s="89"/>
      <c r="R26" s="89"/>
      <c r="S26" s="89"/>
      <c r="T26" s="89"/>
      <c r="U26" s="89"/>
      <c r="V26" s="89"/>
      <c r="W26" s="89"/>
    </row>
    <row r="27" spans="1:23" hidden="1" outlineLevel="1">
      <c r="E27" s="87"/>
      <c r="F27" s="88"/>
      <c r="G27" s="87"/>
      <c r="H27" s="87"/>
      <c r="I27" s="89"/>
      <c r="J27" s="89"/>
      <c r="K27" s="89"/>
      <c r="L27" s="89"/>
      <c r="M27" s="89"/>
      <c r="N27" s="89"/>
      <c r="O27" s="89"/>
      <c r="P27" s="89"/>
      <c r="Q27" s="89"/>
      <c r="R27" s="89"/>
      <c r="S27" s="89"/>
      <c r="T27" s="89"/>
      <c r="U27" s="89"/>
      <c r="V27" s="89"/>
      <c r="W27" s="89"/>
    </row>
    <row r="28" spans="1:23" hidden="1" outlineLevel="1">
      <c r="B28" s="90" t="s">
        <v>243</v>
      </c>
      <c r="E28" s="57"/>
      <c r="F28" s="57"/>
      <c r="G28" s="57"/>
      <c r="H28" s="57"/>
      <c r="I28" s="101"/>
      <c r="J28" s="57"/>
      <c r="K28" s="57"/>
      <c r="L28" s="57"/>
      <c r="M28" s="57"/>
      <c r="N28" s="57"/>
      <c r="O28" s="57"/>
      <c r="P28" s="57"/>
      <c r="Q28" s="57"/>
      <c r="R28" s="57"/>
      <c r="S28" s="57"/>
      <c r="T28" s="57"/>
      <c r="U28" s="57"/>
      <c r="V28" s="57"/>
      <c r="W28" s="57"/>
    </row>
    <row r="29" spans="1:23" hidden="1" outlineLevel="1">
      <c r="E29" s="24" t="str">
        <f xml:space="preserve"> Inputs!E$31</f>
        <v>2017/18 indexation modelling column financial year#</v>
      </c>
      <c r="F29" s="24">
        <f xml:space="preserve"> Inputs!F$31</f>
        <v>42826</v>
      </c>
      <c r="G29" s="24" t="str">
        <f xml:space="preserve"> Inputs!G$31</f>
        <v>year #</v>
      </c>
      <c r="H29" s="24" t="str">
        <f xml:space="preserve"> Inputs!H$31</f>
        <v>Financial model start year</v>
      </c>
      <c r="I29" s="24">
        <f xml:space="preserve"> Inputs!I$31</f>
        <v>0</v>
      </c>
      <c r="J29" s="24">
        <f xml:space="preserve"> Inputs!J$31</f>
        <v>0</v>
      </c>
      <c r="K29" s="24">
        <f xml:space="preserve"> Inputs!K$31</f>
        <v>0</v>
      </c>
      <c r="L29" s="24">
        <f xml:space="preserve"> Inputs!L$31</f>
        <v>0</v>
      </c>
      <c r="M29" s="24">
        <f xml:space="preserve"> Inputs!M$31</f>
        <v>0</v>
      </c>
      <c r="N29" s="24">
        <f xml:space="preserve"> Inputs!N$31</f>
        <v>0</v>
      </c>
      <c r="O29" s="24">
        <f xml:space="preserve"> Inputs!O$31</f>
        <v>0</v>
      </c>
      <c r="P29" s="24">
        <f xml:space="preserve"> Inputs!P$31</f>
        <v>0</v>
      </c>
      <c r="Q29" s="24">
        <f xml:space="preserve"> Inputs!Q$31</f>
        <v>0</v>
      </c>
      <c r="R29" s="24">
        <f xml:space="preserve"> Inputs!R$31</f>
        <v>0</v>
      </c>
      <c r="S29" s="24">
        <f xml:space="preserve"> Inputs!S$31</f>
        <v>0</v>
      </c>
      <c r="T29" s="24">
        <f xml:space="preserve"> Inputs!T$31</f>
        <v>0</v>
      </c>
      <c r="U29" s="24">
        <f xml:space="preserve"> Inputs!U$31</f>
        <v>0</v>
      </c>
      <c r="V29" s="24">
        <f xml:space="preserve"> Inputs!V$31</f>
        <v>0</v>
      </c>
      <c r="W29" s="24">
        <f xml:space="preserve"> Inputs!W$31</f>
        <v>0</v>
      </c>
    </row>
    <row r="30" spans="1:23" hidden="1" outlineLevel="1">
      <c r="E30" s="13" t="str">
        <f t="shared" ref="E30:W30" si="7" xml:space="preserve"> E$20</f>
        <v>Model period beginning</v>
      </c>
      <c r="F30" s="13">
        <f t="shared" si="7"/>
        <v>0</v>
      </c>
      <c r="G30" s="13" t="str">
        <f t="shared" si="7"/>
        <v>date</v>
      </c>
      <c r="H30" s="13">
        <f t="shared" si="7"/>
        <v>0</v>
      </c>
      <c r="I30" s="13">
        <f t="shared" si="7"/>
        <v>0</v>
      </c>
      <c r="J30" s="13">
        <f xml:space="preserve"> J$20</f>
        <v>41730</v>
      </c>
      <c r="K30" s="13">
        <f t="shared" si="7"/>
        <v>42095</v>
      </c>
      <c r="L30" s="13">
        <f t="shared" si="7"/>
        <v>42461</v>
      </c>
      <c r="M30" s="13">
        <f t="shared" si="7"/>
        <v>42826</v>
      </c>
      <c r="N30" s="13">
        <f t="shared" si="7"/>
        <v>43191</v>
      </c>
      <c r="O30" s="13">
        <f t="shared" si="7"/>
        <v>43556</v>
      </c>
      <c r="P30" s="13">
        <f t="shared" si="7"/>
        <v>43922</v>
      </c>
      <c r="Q30" s="13">
        <f t="shared" si="7"/>
        <v>44287</v>
      </c>
      <c r="R30" s="13">
        <f t="shared" si="7"/>
        <v>44652</v>
      </c>
      <c r="S30" s="13">
        <f t="shared" si="7"/>
        <v>45017</v>
      </c>
      <c r="T30" s="13">
        <f t="shared" si="7"/>
        <v>45383</v>
      </c>
      <c r="U30" s="13">
        <f t="shared" si="7"/>
        <v>45748</v>
      </c>
      <c r="V30" s="13">
        <f t="shared" si="7"/>
        <v>46113</v>
      </c>
      <c r="W30" s="13">
        <f t="shared" si="7"/>
        <v>46478</v>
      </c>
    </row>
    <row r="31" spans="1:23" hidden="1" outlineLevel="1">
      <c r="E31" s="13" t="str">
        <f t="shared" ref="E31:W31" si="8" xml:space="preserve"> E$25</f>
        <v>Model period ending</v>
      </c>
      <c r="F31" s="13">
        <f t="shared" si="8"/>
        <v>0</v>
      </c>
      <c r="G31" s="13" t="str">
        <f t="shared" si="8"/>
        <v>date</v>
      </c>
      <c r="H31" s="13">
        <f t="shared" si="8"/>
        <v>0</v>
      </c>
      <c r="I31" s="13">
        <f t="shared" si="8"/>
        <v>0</v>
      </c>
      <c r="J31" s="13">
        <f t="shared" si="8"/>
        <v>42094</v>
      </c>
      <c r="K31" s="13">
        <f t="shared" si="8"/>
        <v>42460</v>
      </c>
      <c r="L31" s="13">
        <f t="shared" si="8"/>
        <v>42825</v>
      </c>
      <c r="M31" s="13">
        <f t="shared" si="8"/>
        <v>43190</v>
      </c>
      <c r="N31" s="13">
        <f t="shared" si="8"/>
        <v>43555</v>
      </c>
      <c r="O31" s="13">
        <f t="shared" si="8"/>
        <v>43921</v>
      </c>
      <c r="P31" s="13">
        <f t="shared" si="8"/>
        <v>44286</v>
      </c>
      <c r="Q31" s="13">
        <f t="shared" si="8"/>
        <v>44651</v>
      </c>
      <c r="R31" s="13">
        <f t="shared" si="8"/>
        <v>45016</v>
      </c>
      <c r="S31" s="13">
        <f t="shared" si="8"/>
        <v>45382</v>
      </c>
      <c r="T31" s="13">
        <f t="shared" si="8"/>
        <v>45747</v>
      </c>
      <c r="U31" s="13">
        <f t="shared" si="8"/>
        <v>46112</v>
      </c>
      <c r="V31" s="13">
        <f t="shared" si="8"/>
        <v>46477</v>
      </c>
      <c r="W31" s="13">
        <f t="shared" si="8"/>
        <v>46843</v>
      </c>
    </row>
    <row r="32" spans="1:23" s="176" customFormat="1" hidden="1" outlineLevel="1">
      <c r="A32" s="151"/>
      <c r="B32" s="151"/>
      <c r="C32" s="152"/>
      <c r="D32" s="153"/>
      <c r="E32" s="129" t="s">
        <v>244</v>
      </c>
      <c r="F32" s="74"/>
      <c r="G32" s="74" t="s">
        <v>240</v>
      </c>
      <c r="H32" s="74">
        <f xml:space="preserve"> SUM(J32:W32)</f>
        <v>1</v>
      </c>
      <c r="I32" s="129"/>
      <c r="J32" s="74">
        <f xml:space="preserve"> IF(AND($F29 &gt;= J30, $F29 &lt;= J31), 1, 0)</f>
        <v>0</v>
      </c>
      <c r="K32" s="74">
        <f t="shared" ref="K32:W32" si="9" xml:space="preserve"> IF(AND($F29 &gt;= K30, $F29 &lt;= K31), 1, 0)</f>
        <v>0</v>
      </c>
      <c r="L32" s="74">
        <f t="shared" si="9"/>
        <v>0</v>
      </c>
      <c r="M32" s="74">
        <f t="shared" si="9"/>
        <v>1</v>
      </c>
      <c r="N32" s="74">
        <f t="shared" si="9"/>
        <v>0</v>
      </c>
      <c r="O32" s="74">
        <f t="shared" si="9"/>
        <v>0</v>
      </c>
      <c r="P32" s="74">
        <f t="shared" si="9"/>
        <v>0</v>
      </c>
      <c r="Q32" s="74">
        <f t="shared" si="9"/>
        <v>0</v>
      </c>
      <c r="R32" s="74">
        <f t="shared" si="9"/>
        <v>0</v>
      </c>
      <c r="S32" s="74">
        <f t="shared" si="9"/>
        <v>0</v>
      </c>
      <c r="T32" s="74">
        <f t="shared" si="9"/>
        <v>0</v>
      </c>
      <c r="U32" s="74">
        <f t="shared" si="9"/>
        <v>0</v>
      </c>
      <c r="V32" s="74">
        <f t="shared" si="9"/>
        <v>0</v>
      </c>
      <c r="W32" s="74">
        <f t="shared" si="9"/>
        <v>0</v>
      </c>
    </row>
    <row r="33" spans="1:23" hidden="1" outlineLevel="1">
      <c r="E33" s="87"/>
      <c r="F33" s="88"/>
      <c r="G33" s="87"/>
      <c r="H33" s="87"/>
      <c r="I33" s="89"/>
      <c r="J33" s="89"/>
      <c r="K33" s="89"/>
      <c r="L33" s="89"/>
      <c r="M33" s="89"/>
      <c r="N33" s="89"/>
      <c r="O33" s="89"/>
      <c r="P33" s="89"/>
      <c r="Q33" s="89"/>
      <c r="R33" s="89"/>
      <c r="S33" s="89"/>
      <c r="T33" s="89"/>
      <c r="U33" s="89"/>
      <c r="V33" s="89"/>
      <c r="W33" s="89"/>
    </row>
    <row r="35" spans="1:23" ht="12.75" customHeight="1">
      <c r="A35" s="115" t="s">
        <v>245</v>
      </c>
      <c r="B35" s="115"/>
      <c r="C35" s="114"/>
      <c r="D35" s="115"/>
      <c r="E35" s="115"/>
      <c r="F35" s="115"/>
      <c r="G35" s="115"/>
      <c r="H35" s="115"/>
      <c r="I35" s="115"/>
      <c r="J35" s="115"/>
      <c r="K35" s="115"/>
      <c r="L35" s="115"/>
      <c r="M35" s="115"/>
      <c r="N35" s="115"/>
      <c r="O35" s="115"/>
      <c r="P35" s="115"/>
      <c r="Q35" s="115"/>
      <c r="R35" s="115"/>
      <c r="S35" s="115"/>
      <c r="T35" s="115"/>
      <c r="U35" s="115"/>
      <c r="V35" s="115"/>
      <c r="W35" s="115"/>
    </row>
    <row r="36" spans="1:23" collapsed="1">
      <c r="E36" s="57"/>
      <c r="F36" s="57"/>
      <c r="G36" s="57"/>
      <c r="H36" s="57"/>
      <c r="I36" s="101"/>
      <c r="J36" s="57"/>
      <c r="K36" s="57"/>
      <c r="L36" s="57"/>
      <c r="M36" s="57"/>
      <c r="N36" s="57"/>
      <c r="O36" s="57"/>
      <c r="P36" s="57"/>
      <c r="Q36" s="57"/>
      <c r="R36" s="57"/>
      <c r="S36" s="57"/>
      <c r="T36" s="57"/>
      <c r="U36" s="57"/>
      <c r="V36" s="57"/>
      <c r="W36" s="57"/>
    </row>
    <row r="37" spans="1:23" hidden="1" outlineLevel="1">
      <c r="B37" s="90" t="s">
        <v>246</v>
      </c>
      <c r="E37" s="57"/>
      <c r="F37" s="57"/>
      <c r="G37" s="57"/>
      <c r="H37" s="57"/>
      <c r="I37" s="101"/>
      <c r="J37" s="57"/>
      <c r="K37" s="57"/>
      <c r="L37" s="57"/>
      <c r="M37" s="57"/>
      <c r="N37" s="57"/>
      <c r="O37" s="57"/>
      <c r="P37" s="57"/>
      <c r="Q37" s="57"/>
      <c r="R37" s="57"/>
      <c r="S37" s="57"/>
      <c r="T37" s="57"/>
      <c r="U37" s="57"/>
      <c r="V37" s="57"/>
      <c r="W37" s="57"/>
    </row>
    <row r="38" spans="1:23" hidden="1" outlineLevel="1">
      <c r="E38" s="24" t="str">
        <f xml:space="preserve"> Inputs!E$25</f>
        <v>Forecast start date</v>
      </c>
      <c r="F38" s="24">
        <f xml:space="preserve"> Inputs!F$25</f>
        <v>43922</v>
      </c>
      <c r="G38" s="24" t="str">
        <f xml:space="preserve"> Inputs!G$25</f>
        <v>date</v>
      </c>
      <c r="H38" s="24">
        <f xml:space="preserve"> Inputs!H$25</f>
        <v>0</v>
      </c>
      <c r="I38" s="24">
        <f xml:space="preserve"> Inputs!I$25</f>
        <v>0</v>
      </c>
      <c r="J38" s="24">
        <f xml:space="preserve"> Inputs!J$25</f>
        <v>0</v>
      </c>
      <c r="K38" s="24">
        <f xml:space="preserve"> Inputs!K$25</f>
        <v>0</v>
      </c>
      <c r="L38" s="24">
        <f xml:space="preserve"> Inputs!L$25</f>
        <v>0</v>
      </c>
      <c r="M38" s="24">
        <f xml:space="preserve"> Inputs!M$25</f>
        <v>0</v>
      </c>
      <c r="N38" s="24">
        <f xml:space="preserve"> Inputs!N$25</f>
        <v>0</v>
      </c>
      <c r="O38" s="24">
        <f xml:space="preserve"> Inputs!O$25</f>
        <v>0</v>
      </c>
      <c r="P38" s="24">
        <f xml:space="preserve"> Inputs!P$25</f>
        <v>0</v>
      </c>
      <c r="Q38" s="24">
        <f xml:space="preserve"> Inputs!Q$25</f>
        <v>0</v>
      </c>
      <c r="R38" s="24">
        <f xml:space="preserve"> Inputs!R$25</f>
        <v>0</v>
      </c>
      <c r="S38" s="24">
        <f xml:space="preserve"> Inputs!S$25</f>
        <v>0</v>
      </c>
      <c r="T38" s="24">
        <f xml:space="preserve"> Inputs!T$25</f>
        <v>0</v>
      </c>
      <c r="U38" s="24">
        <f xml:space="preserve"> Inputs!U$25</f>
        <v>0</v>
      </c>
      <c r="V38" s="24">
        <f xml:space="preserve"> Inputs!V$25</f>
        <v>0</v>
      </c>
      <c r="W38" s="24">
        <f xml:space="preserve"> Inputs!W$25</f>
        <v>0</v>
      </c>
    </row>
    <row r="39" spans="1:23" hidden="1" outlineLevel="1">
      <c r="E39" s="13" t="str">
        <f t="shared" ref="E39:S39" si="10" xml:space="preserve"> E$20</f>
        <v>Model period beginning</v>
      </c>
      <c r="F39" s="13">
        <f t="shared" si="10"/>
        <v>0</v>
      </c>
      <c r="G39" s="13" t="str">
        <f t="shared" si="10"/>
        <v>date</v>
      </c>
      <c r="H39" s="13">
        <f t="shared" si="10"/>
        <v>0</v>
      </c>
      <c r="I39" s="13">
        <f t="shared" si="10"/>
        <v>0</v>
      </c>
      <c r="J39" s="13">
        <f t="shared" si="10"/>
        <v>41730</v>
      </c>
      <c r="K39" s="13">
        <f t="shared" si="10"/>
        <v>42095</v>
      </c>
      <c r="L39" s="13">
        <f t="shared" si="10"/>
        <v>42461</v>
      </c>
      <c r="M39" s="13">
        <f t="shared" si="10"/>
        <v>42826</v>
      </c>
      <c r="N39" s="13">
        <f t="shared" si="10"/>
        <v>43191</v>
      </c>
      <c r="O39" s="13">
        <f t="shared" si="10"/>
        <v>43556</v>
      </c>
      <c r="P39" s="13">
        <f t="shared" si="10"/>
        <v>43922</v>
      </c>
      <c r="Q39" s="13">
        <f t="shared" si="10"/>
        <v>44287</v>
      </c>
      <c r="R39" s="13">
        <f t="shared" si="10"/>
        <v>44652</v>
      </c>
      <c r="S39" s="13">
        <f t="shared" si="10"/>
        <v>45017</v>
      </c>
      <c r="T39" s="13">
        <f xml:space="preserve"> T$20</f>
        <v>45383</v>
      </c>
      <c r="U39" s="13">
        <f xml:space="preserve"> U$20</f>
        <v>45748</v>
      </c>
      <c r="V39" s="13">
        <f xml:space="preserve"> V$20</f>
        <v>46113</v>
      </c>
      <c r="W39" s="13">
        <f xml:space="preserve"> W$20</f>
        <v>46478</v>
      </c>
    </row>
    <row r="40" spans="1:23" hidden="1" outlineLevel="1">
      <c r="E40" s="13" t="str">
        <f t="shared" ref="E40:S40" si="11" xml:space="preserve"> E$25</f>
        <v>Model period ending</v>
      </c>
      <c r="F40" s="13">
        <f t="shared" si="11"/>
        <v>0</v>
      </c>
      <c r="G40" s="13" t="str">
        <f t="shared" si="11"/>
        <v>date</v>
      </c>
      <c r="H40" s="13">
        <f t="shared" si="11"/>
        <v>0</v>
      </c>
      <c r="I40" s="13">
        <f t="shared" si="11"/>
        <v>0</v>
      </c>
      <c r="J40" s="13">
        <f t="shared" si="11"/>
        <v>42094</v>
      </c>
      <c r="K40" s="13">
        <f t="shared" si="11"/>
        <v>42460</v>
      </c>
      <c r="L40" s="13">
        <f t="shared" si="11"/>
        <v>42825</v>
      </c>
      <c r="M40" s="13">
        <f t="shared" si="11"/>
        <v>43190</v>
      </c>
      <c r="N40" s="13">
        <f t="shared" si="11"/>
        <v>43555</v>
      </c>
      <c r="O40" s="13">
        <f t="shared" si="11"/>
        <v>43921</v>
      </c>
      <c r="P40" s="13">
        <f t="shared" si="11"/>
        <v>44286</v>
      </c>
      <c r="Q40" s="13">
        <f t="shared" si="11"/>
        <v>44651</v>
      </c>
      <c r="R40" s="13">
        <f t="shared" si="11"/>
        <v>45016</v>
      </c>
      <c r="S40" s="13">
        <f t="shared" si="11"/>
        <v>45382</v>
      </c>
      <c r="T40" s="13">
        <f xml:space="preserve"> T$25</f>
        <v>45747</v>
      </c>
      <c r="U40" s="13">
        <f xml:space="preserve"> U$25</f>
        <v>46112</v>
      </c>
      <c r="V40" s="13">
        <f xml:space="preserve"> V$25</f>
        <v>46477</v>
      </c>
      <c r="W40" s="13">
        <f xml:space="preserve"> W$25</f>
        <v>46843</v>
      </c>
    </row>
    <row r="41" spans="1:23" s="176" customFormat="1" hidden="1" outlineLevel="1">
      <c r="A41" s="151"/>
      <c r="B41" s="151"/>
      <c r="C41" s="152"/>
      <c r="D41" s="153"/>
      <c r="E41" s="129" t="s">
        <v>246</v>
      </c>
      <c r="F41" s="74"/>
      <c r="G41" s="74" t="s">
        <v>240</v>
      </c>
      <c r="H41" s="74">
        <f xml:space="preserve"> SUM(J41:W41)</f>
        <v>1</v>
      </c>
      <c r="I41" s="129"/>
      <c r="J41" s="74">
        <f xml:space="preserve"> IF(AND($F38 &gt;= J39, $F38 &lt;= J40), 1, 0)</f>
        <v>0</v>
      </c>
      <c r="K41" s="74">
        <f t="shared" ref="K41:R41" si="12" xml:space="preserve"> IF(AND($F38 &gt;= K39, $F38 &lt;= K40), 1, 0)</f>
        <v>0</v>
      </c>
      <c r="L41" s="74">
        <f t="shared" si="12"/>
        <v>0</v>
      </c>
      <c r="M41" s="74">
        <f t="shared" si="12"/>
        <v>0</v>
      </c>
      <c r="N41" s="74">
        <f t="shared" si="12"/>
        <v>0</v>
      </c>
      <c r="O41" s="74">
        <f t="shared" si="12"/>
        <v>0</v>
      </c>
      <c r="P41" s="74">
        <f xml:space="preserve"> IF(AND($F38 &gt;= P39, $F38 &lt;= P40), 1, 0)</f>
        <v>1</v>
      </c>
      <c r="Q41" s="74">
        <f t="shared" si="12"/>
        <v>0</v>
      </c>
      <c r="R41" s="74">
        <f t="shared" si="12"/>
        <v>0</v>
      </c>
      <c r="S41" s="74">
        <f xml:space="preserve"> IF(AND($F38 &gt;= S39, $F38 &lt;= S40), 1, 0)</f>
        <v>0</v>
      </c>
      <c r="T41" s="74">
        <f xml:space="preserve"> IF(AND($F38 &gt;= T39, $F38 &lt;= T40), 1, 0)</f>
        <v>0</v>
      </c>
      <c r="U41" s="74">
        <f xml:space="preserve"> IF(AND($F38 &gt;= U39, $F38 &lt;= U40), 1, 0)</f>
        <v>0</v>
      </c>
      <c r="V41" s="74">
        <f xml:space="preserve"> IF(AND($F38 &gt;= V39, $F38 &lt;= V40), 1, 0)</f>
        <v>0</v>
      </c>
      <c r="W41" s="74">
        <f xml:space="preserve"> IF(AND($F38 &gt;= W39, $F38 &lt;= W40), 1, 0)</f>
        <v>0</v>
      </c>
    </row>
    <row r="42" spans="1:23" hidden="1" outlineLevel="1">
      <c r="E42" s="57"/>
      <c r="F42" s="57"/>
      <c r="G42" s="57"/>
      <c r="H42" s="57"/>
      <c r="I42" s="101"/>
      <c r="J42" s="57"/>
      <c r="K42" s="57"/>
      <c r="L42" s="57"/>
      <c r="M42" s="57"/>
      <c r="N42" s="57"/>
      <c r="O42" s="57"/>
      <c r="P42" s="57"/>
      <c r="Q42" s="57"/>
      <c r="R42" s="57"/>
      <c r="S42" s="57"/>
      <c r="T42" s="57"/>
      <c r="U42" s="57"/>
      <c r="V42" s="57"/>
      <c r="W42" s="57"/>
    </row>
    <row r="43" spans="1:23" hidden="1" outlineLevel="1">
      <c r="B43" s="90" t="s">
        <v>247</v>
      </c>
      <c r="E43" s="57"/>
      <c r="F43" s="57"/>
      <c r="G43" s="57"/>
      <c r="H43" s="57"/>
      <c r="I43" s="101"/>
      <c r="J43" s="57"/>
      <c r="K43" s="57"/>
      <c r="L43" s="57"/>
      <c r="M43" s="57"/>
      <c r="N43" s="57"/>
      <c r="O43" s="57"/>
      <c r="P43" s="57"/>
      <c r="Q43" s="57"/>
      <c r="R43" s="57"/>
      <c r="S43" s="57"/>
      <c r="T43" s="57"/>
      <c r="U43" s="57"/>
      <c r="V43" s="57"/>
      <c r="W43" s="57"/>
    </row>
    <row r="44" spans="1:23" hidden="1" outlineLevel="1">
      <c r="E44" s="24" t="str">
        <f xml:space="preserve"> Inputs!E$25</f>
        <v>Forecast start date</v>
      </c>
      <c r="F44" s="24">
        <f xml:space="preserve"> Inputs!F$25</f>
        <v>43922</v>
      </c>
      <c r="G44" s="24" t="str">
        <f xml:space="preserve"> Inputs!G$25</f>
        <v>date</v>
      </c>
      <c r="H44" s="24">
        <f xml:space="preserve"> Inputs!H$25</f>
        <v>0</v>
      </c>
      <c r="I44" s="24">
        <f xml:space="preserve"> Inputs!I$25</f>
        <v>0</v>
      </c>
      <c r="J44" s="24">
        <f xml:space="preserve"> Inputs!J$25</f>
        <v>0</v>
      </c>
      <c r="K44" s="24">
        <f xml:space="preserve"> Inputs!K$25</f>
        <v>0</v>
      </c>
      <c r="L44" s="24">
        <f xml:space="preserve"> Inputs!L$25</f>
        <v>0</v>
      </c>
      <c r="M44" s="24">
        <f xml:space="preserve"> Inputs!M$25</f>
        <v>0</v>
      </c>
      <c r="N44" s="24">
        <f xml:space="preserve"> Inputs!N$25</f>
        <v>0</v>
      </c>
      <c r="O44" s="24">
        <f xml:space="preserve"> Inputs!O$25</f>
        <v>0</v>
      </c>
      <c r="P44" s="24">
        <f xml:space="preserve"> Inputs!P$25</f>
        <v>0</v>
      </c>
      <c r="Q44" s="24">
        <f xml:space="preserve"> Inputs!Q$25</f>
        <v>0</v>
      </c>
      <c r="R44" s="24">
        <f xml:space="preserve"> Inputs!R$25</f>
        <v>0</v>
      </c>
      <c r="S44" s="24">
        <f xml:space="preserve"> Inputs!S$25</f>
        <v>0</v>
      </c>
      <c r="T44" s="24">
        <f xml:space="preserve"> Inputs!T$25</f>
        <v>0</v>
      </c>
      <c r="U44" s="24">
        <f xml:space="preserve"> Inputs!U$25</f>
        <v>0</v>
      </c>
      <c r="V44" s="24">
        <f xml:space="preserve"> Inputs!V$25</f>
        <v>0</v>
      </c>
      <c r="W44" s="24">
        <f xml:space="preserve"> Inputs!W$25</f>
        <v>0</v>
      </c>
    </row>
    <row r="45" spans="1:23" hidden="1" outlineLevel="1">
      <c r="E45" s="112" t="str">
        <f xml:space="preserve"> Inputs!E$26</f>
        <v>Forecast duration</v>
      </c>
      <c r="F45" s="113">
        <f xml:space="preserve"> Inputs!F$26</f>
        <v>5</v>
      </c>
      <c r="G45" s="112" t="str">
        <f xml:space="preserve"> Inputs!G$26</f>
        <v>years #</v>
      </c>
      <c r="H45" s="112">
        <f xml:space="preserve"> Inputs!H$26</f>
        <v>0</v>
      </c>
      <c r="I45" s="112">
        <f xml:space="preserve"> Inputs!I$26</f>
        <v>0</v>
      </c>
      <c r="J45" s="112">
        <f xml:space="preserve"> Inputs!J$26</f>
        <v>0</v>
      </c>
      <c r="K45" s="112">
        <f xml:space="preserve"> Inputs!K$26</f>
        <v>0</v>
      </c>
      <c r="L45" s="112">
        <f xml:space="preserve"> Inputs!L$26</f>
        <v>0</v>
      </c>
      <c r="M45" s="112">
        <f xml:space="preserve"> Inputs!M$26</f>
        <v>0</v>
      </c>
      <c r="N45" s="112">
        <f xml:space="preserve"> Inputs!N$26</f>
        <v>0</v>
      </c>
      <c r="O45" s="112">
        <f xml:space="preserve"> Inputs!O$26</f>
        <v>0</v>
      </c>
      <c r="P45" s="112">
        <f xml:space="preserve"> Inputs!P$26</f>
        <v>0</v>
      </c>
      <c r="Q45" s="112">
        <f xml:space="preserve"> Inputs!Q$26</f>
        <v>0</v>
      </c>
      <c r="R45" s="112">
        <f xml:space="preserve"> Inputs!R$26</f>
        <v>0</v>
      </c>
      <c r="S45" s="112">
        <f xml:space="preserve"> Inputs!S$26</f>
        <v>0</v>
      </c>
      <c r="T45" s="112">
        <f xml:space="preserve"> Inputs!T$26</f>
        <v>0</v>
      </c>
      <c r="U45" s="112">
        <f xml:space="preserve"> Inputs!U$26</f>
        <v>0</v>
      </c>
      <c r="V45" s="112">
        <f xml:space="preserve"> Inputs!V$26</f>
        <v>0</v>
      </c>
      <c r="W45" s="112">
        <f xml:space="preserve"> Inputs!W$26</f>
        <v>0</v>
      </c>
    </row>
    <row r="46" spans="1:23" s="74" customFormat="1" hidden="1" outlineLevel="1">
      <c r="A46" s="151"/>
      <c r="B46" s="151"/>
      <c r="C46" s="152"/>
      <c r="D46" s="153"/>
      <c r="E46" s="177" t="s">
        <v>248</v>
      </c>
      <c r="F46" s="177">
        <f xml:space="preserve"> DATE(YEAR(F44) + F45, MONTH(F44), DAY(F44) - 1)</f>
        <v>45747</v>
      </c>
      <c r="G46" s="177" t="s">
        <v>143</v>
      </c>
      <c r="H46" s="177"/>
      <c r="I46" s="209"/>
      <c r="J46" s="177"/>
      <c r="K46" s="177"/>
      <c r="L46" s="177"/>
      <c r="M46" s="177"/>
      <c r="N46" s="177"/>
      <c r="O46" s="177"/>
      <c r="P46" s="177"/>
      <c r="Q46" s="177"/>
      <c r="R46" s="177"/>
      <c r="S46" s="177"/>
      <c r="T46" s="177"/>
      <c r="U46" s="177"/>
      <c r="V46" s="177"/>
      <c r="W46" s="177"/>
    </row>
    <row r="47" spans="1:23" hidden="1" outlineLevel="1">
      <c r="E47" s="57"/>
      <c r="F47" s="57"/>
      <c r="G47" s="57"/>
      <c r="H47" s="57"/>
      <c r="I47" s="101"/>
      <c r="J47" s="57"/>
      <c r="K47" s="57"/>
      <c r="L47" s="57"/>
      <c r="M47" s="57"/>
      <c r="N47" s="57"/>
      <c r="O47" s="57"/>
      <c r="P47" s="57"/>
      <c r="Q47" s="57"/>
      <c r="R47" s="57"/>
      <c r="S47" s="57"/>
      <c r="T47" s="57"/>
      <c r="U47" s="57"/>
      <c r="V47" s="57"/>
      <c r="W47" s="57"/>
    </row>
    <row r="48" spans="1:23" hidden="1" outlineLevel="1">
      <c r="E48" s="32" t="str">
        <f xml:space="preserve"> E$46</f>
        <v>Forecast end date</v>
      </c>
      <c r="F48" s="32">
        <f xml:space="preserve"> F$46</f>
        <v>45747</v>
      </c>
      <c r="G48" s="32" t="str">
        <f xml:space="preserve"> G$46</f>
        <v>date</v>
      </c>
      <c r="H48" s="32">
        <f t="shared" ref="H48:W48" si="13" xml:space="preserve"> H$46</f>
        <v>0</v>
      </c>
      <c r="I48" s="32">
        <f t="shared" si="13"/>
        <v>0</v>
      </c>
      <c r="J48" s="32">
        <f t="shared" si="13"/>
        <v>0</v>
      </c>
      <c r="K48" s="32">
        <f t="shared" si="13"/>
        <v>0</v>
      </c>
      <c r="L48" s="32">
        <f t="shared" si="13"/>
        <v>0</v>
      </c>
      <c r="M48" s="32">
        <f t="shared" si="13"/>
        <v>0</v>
      </c>
      <c r="N48" s="32">
        <f t="shared" si="13"/>
        <v>0</v>
      </c>
      <c r="O48" s="32">
        <f t="shared" si="13"/>
        <v>0</v>
      </c>
      <c r="P48" s="32">
        <f t="shared" si="13"/>
        <v>0</v>
      </c>
      <c r="Q48" s="32">
        <f t="shared" si="13"/>
        <v>0</v>
      </c>
      <c r="R48" s="32">
        <f t="shared" si="13"/>
        <v>0</v>
      </c>
      <c r="S48" s="32">
        <f t="shared" si="13"/>
        <v>0</v>
      </c>
      <c r="T48" s="32">
        <f t="shared" si="13"/>
        <v>0</v>
      </c>
      <c r="U48" s="32">
        <f t="shared" si="13"/>
        <v>0</v>
      </c>
      <c r="V48" s="32">
        <f t="shared" si="13"/>
        <v>0</v>
      </c>
      <c r="W48" s="32">
        <f t="shared" si="13"/>
        <v>0</v>
      </c>
    </row>
    <row r="49" spans="1:23" hidden="1" outlineLevel="1">
      <c r="E49" s="13" t="str">
        <f t="shared" ref="E49:S49" si="14" xml:space="preserve"> E$20</f>
        <v>Model period beginning</v>
      </c>
      <c r="F49" s="13">
        <f t="shared" si="14"/>
        <v>0</v>
      </c>
      <c r="G49" s="13" t="str">
        <f t="shared" si="14"/>
        <v>date</v>
      </c>
      <c r="H49" s="13">
        <f t="shared" si="14"/>
        <v>0</v>
      </c>
      <c r="I49" s="13">
        <f t="shared" si="14"/>
        <v>0</v>
      </c>
      <c r="J49" s="13">
        <f t="shared" si="14"/>
        <v>41730</v>
      </c>
      <c r="K49" s="13">
        <f t="shared" si="14"/>
        <v>42095</v>
      </c>
      <c r="L49" s="13">
        <f t="shared" si="14"/>
        <v>42461</v>
      </c>
      <c r="M49" s="13">
        <f t="shared" si="14"/>
        <v>42826</v>
      </c>
      <c r="N49" s="13">
        <f t="shared" si="14"/>
        <v>43191</v>
      </c>
      <c r="O49" s="13">
        <f t="shared" si="14"/>
        <v>43556</v>
      </c>
      <c r="P49" s="13">
        <f t="shared" si="14"/>
        <v>43922</v>
      </c>
      <c r="Q49" s="13">
        <f t="shared" si="14"/>
        <v>44287</v>
      </c>
      <c r="R49" s="13">
        <f t="shared" si="14"/>
        <v>44652</v>
      </c>
      <c r="S49" s="13">
        <f t="shared" si="14"/>
        <v>45017</v>
      </c>
      <c r="T49" s="13">
        <f xml:space="preserve"> T$20</f>
        <v>45383</v>
      </c>
      <c r="U49" s="13">
        <f xml:space="preserve"> U$20</f>
        <v>45748</v>
      </c>
      <c r="V49" s="13">
        <f xml:space="preserve"> V$20</f>
        <v>46113</v>
      </c>
      <c r="W49" s="13">
        <f xml:space="preserve"> W$20</f>
        <v>46478</v>
      </c>
    </row>
    <row r="50" spans="1:23" hidden="1" outlineLevel="1">
      <c r="E50" s="13" t="str">
        <f t="shared" ref="E50:S50" si="15" xml:space="preserve"> E$25</f>
        <v>Model period ending</v>
      </c>
      <c r="F50" s="13">
        <f t="shared" si="15"/>
        <v>0</v>
      </c>
      <c r="G50" s="13" t="str">
        <f t="shared" si="15"/>
        <v>date</v>
      </c>
      <c r="H50" s="13">
        <f t="shared" si="15"/>
        <v>0</v>
      </c>
      <c r="I50" s="13">
        <f t="shared" si="15"/>
        <v>0</v>
      </c>
      <c r="J50" s="13">
        <f t="shared" si="15"/>
        <v>42094</v>
      </c>
      <c r="K50" s="13">
        <f t="shared" si="15"/>
        <v>42460</v>
      </c>
      <c r="L50" s="13">
        <f t="shared" si="15"/>
        <v>42825</v>
      </c>
      <c r="M50" s="13">
        <f t="shared" si="15"/>
        <v>43190</v>
      </c>
      <c r="N50" s="13">
        <f t="shared" si="15"/>
        <v>43555</v>
      </c>
      <c r="O50" s="13">
        <f t="shared" si="15"/>
        <v>43921</v>
      </c>
      <c r="P50" s="13">
        <f t="shared" si="15"/>
        <v>44286</v>
      </c>
      <c r="Q50" s="13">
        <f t="shared" si="15"/>
        <v>44651</v>
      </c>
      <c r="R50" s="13">
        <f t="shared" si="15"/>
        <v>45016</v>
      </c>
      <c r="S50" s="13">
        <f t="shared" si="15"/>
        <v>45382</v>
      </c>
      <c r="T50" s="13">
        <f xml:space="preserve"> T$25</f>
        <v>45747</v>
      </c>
      <c r="U50" s="13">
        <f xml:space="preserve"> U$25</f>
        <v>46112</v>
      </c>
      <c r="V50" s="13">
        <f xml:space="preserve"> V$25</f>
        <v>46477</v>
      </c>
      <c r="W50" s="13">
        <f xml:space="preserve"> W$25</f>
        <v>46843</v>
      </c>
    </row>
    <row r="51" spans="1:23" hidden="1" outlineLevel="1">
      <c r="E51" s="97" t="s">
        <v>247</v>
      </c>
      <c r="F51" s="97"/>
      <c r="G51" s="97" t="s">
        <v>240</v>
      </c>
      <c r="H51" s="97">
        <f xml:space="preserve"> SUM(J51:W51)</f>
        <v>1</v>
      </c>
      <c r="I51" s="55"/>
      <c r="J51" s="97">
        <f t="shared" ref="J51:S51" si="16" xml:space="preserve"> IF(AND($F48 &gt;= J49, $F48 &lt;= J50), 1, 0)</f>
        <v>0</v>
      </c>
      <c r="K51" s="97">
        <f t="shared" si="16"/>
        <v>0</v>
      </c>
      <c r="L51" s="97">
        <f t="shared" si="16"/>
        <v>0</v>
      </c>
      <c r="M51" s="97">
        <f t="shared" si="16"/>
        <v>0</v>
      </c>
      <c r="N51" s="97">
        <f t="shared" si="16"/>
        <v>0</v>
      </c>
      <c r="O51" s="97">
        <f t="shared" si="16"/>
        <v>0</v>
      </c>
      <c r="P51" s="97">
        <f t="shared" si="16"/>
        <v>0</v>
      </c>
      <c r="Q51" s="97">
        <f t="shared" si="16"/>
        <v>0</v>
      </c>
      <c r="R51" s="97">
        <f t="shared" si="16"/>
        <v>0</v>
      </c>
      <c r="S51" s="97">
        <f t="shared" si="16"/>
        <v>0</v>
      </c>
      <c r="T51" s="97">
        <f xml:space="preserve"> IF(AND($F48 &gt;= T49, $F48 &lt;= T50), 1, 0)</f>
        <v>1</v>
      </c>
      <c r="U51" s="97">
        <f xml:space="preserve"> IF(AND($F48 &gt;= U49, $F48 &lt;= U50), 1, 0)</f>
        <v>0</v>
      </c>
      <c r="V51" s="97">
        <f xml:space="preserve"> IF(AND($F48 &gt;= V49, $F48 &lt;= V50), 1, 0)</f>
        <v>0</v>
      </c>
      <c r="W51" s="97">
        <f xml:space="preserve"> IF(AND($F48 &gt;= W49, $F48 &lt;= W50), 1, 0)</f>
        <v>0</v>
      </c>
    </row>
    <row r="52" spans="1:23" hidden="1" outlineLevel="1">
      <c r="E52" s="57"/>
      <c r="F52" s="57"/>
      <c r="G52" s="57"/>
      <c r="H52" s="57"/>
      <c r="I52" s="101"/>
      <c r="J52" s="57"/>
      <c r="K52" s="57"/>
      <c r="L52" s="57"/>
      <c r="M52" s="57"/>
      <c r="N52" s="57"/>
      <c r="O52" s="57"/>
      <c r="P52" s="57"/>
      <c r="Q52" s="57"/>
      <c r="R52" s="57"/>
      <c r="S52" s="57"/>
      <c r="T52" s="57"/>
      <c r="U52" s="57"/>
      <c r="V52" s="57"/>
      <c r="W52" s="57"/>
    </row>
    <row r="53" spans="1:23" hidden="1" outlineLevel="1">
      <c r="B53" s="90" t="s">
        <v>249</v>
      </c>
      <c r="E53" s="57"/>
      <c r="F53" s="57"/>
      <c r="G53" s="57"/>
      <c r="H53" s="57"/>
      <c r="I53" s="101"/>
      <c r="J53" s="57"/>
      <c r="K53" s="57"/>
      <c r="L53" s="57"/>
      <c r="M53" s="57"/>
      <c r="N53" s="57"/>
      <c r="O53" s="57"/>
      <c r="P53" s="57"/>
      <c r="Q53" s="57"/>
      <c r="R53" s="57"/>
      <c r="S53" s="57"/>
      <c r="T53" s="57"/>
      <c r="U53" s="57"/>
      <c r="V53" s="57"/>
      <c r="W53" s="57"/>
    </row>
    <row r="54" spans="1:23" hidden="1" outlineLevel="1">
      <c r="E54" s="57" t="str">
        <f xml:space="preserve"> E$41</f>
        <v>Forecast start period flag</v>
      </c>
      <c r="F54" s="57">
        <f xml:space="preserve"> F$41</f>
        <v>0</v>
      </c>
      <c r="G54" s="57" t="str">
        <f xml:space="preserve"> G$41</f>
        <v>flag</v>
      </c>
      <c r="H54" s="57">
        <f xml:space="preserve"> H$41</f>
        <v>1</v>
      </c>
      <c r="I54" s="57">
        <f xml:space="preserve"> I$41</f>
        <v>0</v>
      </c>
      <c r="J54" s="57">
        <f t="shared" ref="J54:S54" si="17" xml:space="preserve"> J$41</f>
        <v>0</v>
      </c>
      <c r="K54" s="57">
        <f t="shared" si="17"/>
        <v>0</v>
      </c>
      <c r="L54" s="57">
        <f t="shared" si="17"/>
        <v>0</v>
      </c>
      <c r="M54" s="57">
        <f t="shared" si="17"/>
        <v>0</v>
      </c>
      <c r="N54" s="57">
        <f t="shared" si="17"/>
        <v>0</v>
      </c>
      <c r="O54" s="57">
        <f t="shared" si="17"/>
        <v>0</v>
      </c>
      <c r="P54" s="57">
        <f t="shared" si="17"/>
        <v>1</v>
      </c>
      <c r="Q54" s="57">
        <f t="shared" si="17"/>
        <v>0</v>
      </c>
      <c r="R54" s="57">
        <f t="shared" si="17"/>
        <v>0</v>
      </c>
      <c r="S54" s="57">
        <f t="shared" si="17"/>
        <v>0</v>
      </c>
      <c r="T54" s="57">
        <f xml:space="preserve"> T$41</f>
        <v>0</v>
      </c>
      <c r="U54" s="57">
        <f xml:space="preserve"> U$41</f>
        <v>0</v>
      </c>
      <c r="V54" s="57">
        <f xml:space="preserve"> V$41</f>
        <v>0</v>
      </c>
      <c r="W54" s="57">
        <f xml:space="preserve"> W$41</f>
        <v>0</v>
      </c>
    </row>
    <row r="55" spans="1:23" hidden="1" outlineLevel="1">
      <c r="E55" s="57" t="str">
        <f xml:space="preserve"> E$51</f>
        <v>Forecast end period flag</v>
      </c>
      <c r="F55" s="57">
        <f xml:space="preserve"> F$51</f>
        <v>0</v>
      </c>
      <c r="G55" s="57" t="str">
        <f xml:space="preserve"> G$51</f>
        <v>flag</v>
      </c>
      <c r="H55" s="57">
        <f xml:space="preserve"> H$51</f>
        <v>1</v>
      </c>
      <c r="I55" s="57">
        <f xml:space="preserve"> I$51</f>
        <v>0</v>
      </c>
      <c r="J55" s="57">
        <f t="shared" ref="J55:S55" si="18" xml:space="preserve"> J$51</f>
        <v>0</v>
      </c>
      <c r="K55" s="57">
        <f t="shared" si="18"/>
        <v>0</v>
      </c>
      <c r="L55" s="57">
        <f t="shared" si="18"/>
        <v>0</v>
      </c>
      <c r="M55" s="57">
        <f t="shared" si="18"/>
        <v>0</v>
      </c>
      <c r="N55" s="57">
        <f t="shared" si="18"/>
        <v>0</v>
      </c>
      <c r="O55" s="57">
        <f t="shared" si="18"/>
        <v>0</v>
      </c>
      <c r="P55" s="57">
        <f t="shared" si="18"/>
        <v>0</v>
      </c>
      <c r="Q55" s="57">
        <f t="shared" si="18"/>
        <v>0</v>
      </c>
      <c r="R55" s="57">
        <f t="shared" si="18"/>
        <v>0</v>
      </c>
      <c r="S55" s="57">
        <f t="shared" si="18"/>
        <v>0</v>
      </c>
      <c r="T55" s="57">
        <f xml:space="preserve"> T$51</f>
        <v>1</v>
      </c>
      <c r="U55" s="57">
        <f xml:space="preserve"> U$51</f>
        <v>0</v>
      </c>
      <c r="V55" s="57">
        <f xml:space="preserve"> V$51</f>
        <v>0</v>
      </c>
      <c r="W55" s="57">
        <f xml:space="preserve"> W$51</f>
        <v>0</v>
      </c>
    </row>
    <row r="56" spans="1:23" hidden="1" outlineLevel="1">
      <c r="E56" s="55" t="s">
        <v>249</v>
      </c>
      <c r="F56" s="97"/>
      <c r="G56" s="97" t="s">
        <v>240</v>
      </c>
      <c r="H56" s="97">
        <f xml:space="preserve"> SUM(J56:W56)</f>
        <v>5</v>
      </c>
      <c r="I56" s="55"/>
      <c r="J56" s="97">
        <f xml:space="preserve"> J54 + I56 - I55</f>
        <v>0</v>
      </c>
      <c r="K56" s="97">
        <f t="shared" ref="K56:R56" si="19" xml:space="preserve"> K54 + J56 - J55</f>
        <v>0</v>
      </c>
      <c r="L56" s="97">
        <f t="shared" si="19"/>
        <v>0</v>
      </c>
      <c r="M56" s="97">
        <f t="shared" si="19"/>
        <v>0</v>
      </c>
      <c r="N56" s="97">
        <f t="shared" si="19"/>
        <v>0</v>
      </c>
      <c r="O56" s="97">
        <f t="shared" si="19"/>
        <v>0</v>
      </c>
      <c r="P56" s="97">
        <f t="shared" si="19"/>
        <v>1</v>
      </c>
      <c r="Q56" s="97">
        <f t="shared" si="19"/>
        <v>1</v>
      </c>
      <c r="R56" s="97">
        <f t="shared" si="19"/>
        <v>1</v>
      </c>
      <c r="S56" s="97">
        <f xml:space="preserve"> S54 + R56 - R55</f>
        <v>1</v>
      </c>
      <c r="T56" s="97">
        <f xml:space="preserve"> T54 + S56 - S55</f>
        <v>1</v>
      </c>
      <c r="U56" s="97">
        <f xml:space="preserve"> U54 + T56 - T55</f>
        <v>0</v>
      </c>
      <c r="V56" s="97">
        <f xml:space="preserve"> V54 + U56 - U55</f>
        <v>0</v>
      </c>
      <c r="W56" s="97">
        <f xml:space="preserve"> W54 + V56 - V55</f>
        <v>0</v>
      </c>
    </row>
    <row r="57" spans="1:23" s="176" customFormat="1" hidden="1" outlineLevel="1">
      <c r="A57" s="151"/>
      <c r="B57" s="151"/>
      <c r="C57" s="152"/>
      <c r="D57" s="153"/>
      <c r="E57" s="74" t="s">
        <v>250</v>
      </c>
      <c r="F57" s="74">
        <f xml:space="preserve"> SUM(J56:W56)</f>
        <v>5</v>
      </c>
      <c r="G57" s="74" t="s">
        <v>251</v>
      </c>
      <c r="H57" s="74"/>
      <c r="I57" s="129"/>
      <c r="J57" s="74"/>
      <c r="K57" s="74"/>
      <c r="L57" s="74"/>
      <c r="M57" s="74"/>
      <c r="N57" s="74"/>
      <c r="O57" s="74"/>
      <c r="P57" s="74"/>
      <c r="Q57" s="74"/>
      <c r="R57" s="74"/>
      <c r="S57" s="74"/>
      <c r="T57" s="74"/>
      <c r="U57" s="74"/>
      <c r="V57" s="74"/>
      <c r="W57" s="74"/>
    </row>
    <row r="58" spans="1:23" hidden="1" outlineLevel="1">
      <c r="E58" s="97"/>
      <c r="F58" s="97"/>
      <c r="G58" s="97"/>
      <c r="H58" s="57"/>
      <c r="I58" s="101"/>
      <c r="J58" s="57"/>
      <c r="K58" s="57"/>
      <c r="L58" s="57"/>
      <c r="M58" s="57"/>
      <c r="N58" s="57"/>
      <c r="O58" s="57"/>
      <c r="P58" s="57"/>
      <c r="Q58" s="57"/>
      <c r="R58" s="57"/>
      <c r="S58" s="57"/>
      <c r="T58" s="57"/>
      <c r="U58" s="57"/>
      <c r="V58" s="57"/>
      <c r="W58" s="57"/>
    </row>
    <row r="59" spans="1:23" hidden="1" outlineLevel="1">
      <c r="B59" s="90" t="s">
        <v>252</v>
      </c>
      <c r="E59" s="97"/>
      <c r="F59" s="97"/>
      <c r="G59" s="97"/>
      <c r="H59" s="57"/>
      <c r="I59" s="101"/>
      <c r="J59" s="57"/>
      <c r="K59" s="57"/>
      <c r="L59" s="57"/>
      <c r="M59" s="57"/>
      <c r="N59" s="57"/>
      <c r="O59" s="57"/>
      <c r="P59" s="57"/>
      <c r="Q59" s="57"/>
      <c r="R59" s="57"/>
      <c r="S59" s="57"/>
      <c r="T59" s="57"/>
      <c r="U59" s="57"/>
      <c r="V59" s="57"/>
      <c r="W59" s="57"/>
    </row>
    <row r="60" spans="1:23" hidden="1" outlineLevel="1">
      <c r="E60" s="57" t="str">
        <f xml:space="preserve"> E$41</f>
        <v>Forecast start period flag</v>
      </c>
      <c r="F60" s="57">
        <f xml:space="preserve"> F$41</f>
        <v>0</v>
      </c>
      <c r="G60" s="57" t="str">
        <f t="shared" ref="G60:W60" si="20" xml:space="preserve"> G$41</f>
        <v>flag</v>
      </c>
      <c r="H60" s="57">
        <f t="shared" si="20"/>
        <v>1</v>
      </c>
      <c r="I60" s="57">
        <f t="shared" si="20"/>
        <v>0</v>
      </c>
      <c r="J60" s="57">
        <f t="shared" si="20"/>
        <v>0</v>
      </c>
      <c r="K60" s="57">
        <f t="shared" si="20"/>
        <v>0</v>
      </c>
      <c r="L60" s="57">
        <f t="shared" si="20"/>
        <v>0</v>
      </c>
      <c r="M60" s="57">
        <f t="shared" si="20"/>
        <v>0</v>
      </c>
      <c r="N60" s="57">
        <f t="shared" si="20"/>
        <v>0</v>
      </c>
      <c r="O60" s="57">
        <f t="shared" si="20"/>
        <v>0</v>
      </c>
      <c r="P60" s="57">
        <f t="shared" si="20"/>
        <v>1</v>
      </c>
      <c r="Q60" s="57">
        <f t="shared" si="20"/>
        <v>0</v>
      </c>
      <c r="R60" s="57">
        <f t="shared" si="20"/>
        <v>0</v>
      </c>
      <c r="S60" s="57">
        <f t="shared" si="20"/>
        <v>0</v>
      </c>
      <c r="T60" s="57">
        <f t="shared" si="20"/>
        <v>0</v>
      </c>
      <c r="U60" s="57">
        <f t="shared" si="20"/>
        <v>0</v>
      </c>
      <c r="V60" s="57">
        <f t="shared" si="20"/>
        <v>0</v>
      </c>
      <c r="W60" s="57">
        <f t="shared" si="20"/>
        <v>0</v>
      </c>
    </row>
    <row r="61" spans="1:23" hidden="1" outlineLevel="1">
      <c r="E61" s="57" t="str">
        <f t="shared" ref="E61:W61" si="21" xml:space="preserve"> E$56</f>
        <v>Forecast period flag</v>
      </c>
      <c r="F61" s="57">
        <f t="shared" si="21"/>
        <v>0</v>
      </c>
      <c r="G61" s="57" t="str">
        <f t="shared" si="21"/>
        <v>flag</v>
      </c>
      <c r="H61" s="57">
        <f t="shared" si="21"/>
        <v>5</v>
      </c>
      <c r="I61" s="57">
        <f t="shared" si="21"/>
        <v>0</v>
      </c>
      <c r="J61" s="57">
        <f t="shared" si="21"/>
        <v>0</v>
      </c>
      <c r="K61" s="57">
        <f t="shared" si="21"/>
        <v>0</v>
      </c>
      <c r="L61" s="57">
        <f t="shared" si="21"/>
        <v>0</v>
      </c>
      <c r="M61" s="57">
        <f t="shared" si="21"/>
        <v>0</v>
      </c>
      <c r="N61" s="57">
        <f t="shared" si="21"/>
        <v>0</v>
      </c>
      <c r="O61" s="57">
        <f t="shared" si="21"/>
        <v>0</v>
      </c>
      <c r="P61" s="57">
        <f t="shared" si="21"/>
        <v>1</v>
      </c>
      <c r="Q61" s="57">
        <f t="shared" si="21"/>
        <v>1</v>
      </c>
      <c r="R61" s="57">
        <f t="shared" si="21"/>
        <v>1</v>
      </c>
      <c r="S61" s="57">
        <f t="shared" si="21"/>
        <v>1</v>
      </c>
      <c r="T61" s="57">
        <f t="shared" si="21"/>
        <v>1</v>
      </c>
      <c r="U61" s="57">
        <f t="shared" si="21"/>
        <v>0</v>
      </c>
      <c r="V61" s="57">
        <f t="shared" si="21"/>
        <v>0</v>
      </c>
      <c r="W61" s="57">
        <f t="shared" si="21"/>
        <v>0</v>
      </c>
    </row>
    <row r="62" spans="1:23" hidden="1" outlineLevel="1">
      <c r="E62" s="57" t="str">
        <f xml:space="preserve"> E$51</f>
        <v>Forecast end period flag</v>
      </c>
      <c r="F62" s="57">
        <f xml:space="preserve"> F$51</f>
        <v>0</v>
      </c>
      <c r="G62" s="57" t="str">
        <f t="shared" ref="G62:W62" si="22" xml:space="preserve"> G$51</f>
        <v>flag</v>
      </c>
      <c r="H62" s="57">
        <f t="shared" si="22"/>
        <v>1</v>
      </c>
      <c r="I62" s="57">
        <f t="shared" si="22"/>
        <v>0</v>
      </c>
      <c r="J62" s="57">
        <f t="shared" si="22"/>
        <v>0</v>
      </c>
      <c r="K62" s="57">
        <f t="shared" si="22"/>
        <v>0</v>
      </c>
      <c r="L62" s="57">
        <f t="shared" si="22"/>
        <v>0</v>
      </c>
      <c r="M62" s="57">
        <f t="shared" si="22"/>
        <v>0</v>
      </c>
      <c r="N62" s="57">
        <f t="shared" si="22"/>
        <v>0</v>
      </c>
      <c r="O62" s="57">
        <f t="shared" si="22"/>
        <v>0</v>
      </c>
      <c r="P62" s="57">
        <f t="shared" si="22"/>
        <v>0</v>
      </c>
      <c r="Q62" s="57">
        <f t="shared" si="22"/>
        <v>0</v>
      </c>
      <c r="R62" s="57">
        <f t="shared" si="22"/>
        <v>0</v>
      </c>
      <c r="S62" s="57">
        <f t="shared" si="22"/>
        <v>0</v>
      </c>
      <c r="T62" s="57">
        <f t="shared" si="22"/>
        <v>1</v>
      </c>
      <c r="U62" s="57">
        <f t="shared" si="22"/>
        <v>0</v>
      </c>
      <c r="V62" s="57">
        <f t="shared" si="22"/>
        <v>0</v>
      </c>
      <c r="W62" s="57">
        <f t="shared" si="22"/>
        <v>0</v>
      </c>
    </row>
    <row r="63" spans="1:23" s="154" customFormat="1" hidden="1" outlineLevel="1">
      <c r="A63" s="151"/>
      <c r="B63" s="151"/>
      <c r="C63" s="152"/>
      <c r="D63" s="153"/>
      <c r="E63" s="97" t="s">
        <v>252</v>
      </c>
      <c r="F63" s="97"/>
      <c r="G63" s="97" t="s">
        <v>236</v>
      </c>
      <c r="H63" s="97"/>
      <c r="I63" s="55"/>
      <c r="J63" s="97">
        <f t="shared" ref="J63:W63" si="23" xml:space="preserve"> IF(J60 = 1, 1, I63 + J61 - I62) * J61</f>
        <v>0</v>
      </c>
      <c r="K63" s="97">
        <f t="shared" si="23"/>
        <v>0</v>
      </c>
      <c r="L63" s="97">
        <f t="shared" si="23"/>
        <v>0</v>
      </c>
      <c r="M63" s="97">
        <f t="shared" si="23"/>
        <v>0</v>
      </c>
      <c r="N63" s="97">
        <f t="shared" si="23"/>
        <v>0</v>
      </c>
      <c r="O63" s="97">
        <f t="shared" si="23"/>
        <v>0</v>
      </c>
      <c r="P63" s="97">
        <f t="shared" si="23"/>
        <v>1</v>
      </c>
      <c r="Q63" s="97">
        <f t="shared" si="23"/>
        <v>2</v>
      </c>
      <c r="R63" s="97">
        <f t="shared" si="23"/>
        <v>3</v>
      </c>
      <c r="S63" s="97">
        <f t="shared" si="23"/>
        <v>4</v>
      </c>
      <c r="T63" s="97">
        <f t="shared" si="23"/>
        <v>5</v>
      </c>
      <c r="U63" s="97">
        <f t="shared" si="23"/>
        <v>0</v>
      </c>
      <c r="V63" s="97">
        <f t="shared" si="23"/>
        <v>0</v>
      </c>
      <c r="W63" s="97">
        <f t="shared" si="23"/>
        <v>0</v>
      </c>
    </row>
    <row r="64" spans="1:23" hidden="1" outlineLevel="1">
      <c r="E64" s="57"/>
      <c r="F64" s="57"/>
      <c r="G64" s="57"/>
      <c r="H64" s="57"/>
      <c r="I64" s="101"/>
      <c r="J64" s="57"/>
      <c r="K64" s="57"/>
      <c r="L64" s="57"/>
      <c r="M64" s="57"/>
      <c r="N64" s="57"/>
      <c r="O64" s="57"/>
      <c r="P64" s="57"/>
      <c r="Q64" s="57"/>
      <c r="R64" s="57"/>
      <c r="S64" s="57"/>
      <c r="T64" s="57"/>
      <c r="U64" s="57"/>
      <c r="V64" s="57"/>
      <c r="W64" s="57"/>
    </row>
    <row r="65" spans="1:23" hidden="1" outlineLevel="1">
      <c r="B65" s="90" t="s">
        <v>253</v>
      </c>
      <c r="E65" s="57"/>
      <c r="F65" s="57"/>
      <c r="G65" s="57"/>
      <c r="H65" s="57"/>
      <c r="I65" s="101"/>
      <c r="J65" s="57"/>
      <c r="K65" s="57"/>
      <c r="L65" s="57"/>
      <c r="M65" s="57"/>
      <c r="N65" s="57"/>
      <c r="O65" s="57"/>
      <c r="P65" s="57"/>
      <c r="Q65" s="57"/>
      <c r="R65" s="57"/>
      <c r="S65" s="57"/>
      <c r="T65" s="57"/>
      <c r="U65" s="57"/>
      <c r="V65" s="57"/>
      <c r="W65" s="57"/>
    </row>
    <row r="66" spans="1:23" hidden="1" outlineLevel="1">
      <c r="E66" s="57" t="str">
        <f xml:space="preserve"> E$14</f>
        <v>1st model column flag</v>
      </c>
      <c r="F66" s="57">
        <f xml:space="preserve"> F$14</f>
        <v>0</v>
      </c>
      <c r="G66" s="57" t="str">
        <f xml:space="preserve"> G$14</f>
        <v>flag</v>
      </c>
      <c r="H66" s="57">
        <f xml:space="preserve"> H$14</f>
        <v>1</v>
      </c>
      <c r="I66" s="57">
        <f xml:space="preserve"> I$14</f>
        <v>0</v>
      </c>
      <c r="J66" s="57">
        <f t="shared" ref="J66:S66" si="24" xml:space="preserve"> J$14</f>
        <v>1</v>
      </c>
      <c r="K66" s="57">
        <f t="shared" si="24"/>
        <v>0</v>
      </c>
      <c r="L66" s="57">
        <f t="shared" si="24"/>
        <v>0</v>
      </c>
      <c r="M66" s="57">
        <f t="shared" si="24"/>
        <v>0</v>
      </c>
      <c r="N66" s="57">
        <f t="shared" si="24"/>
        <v>0</v>
      </c>
      <c r="O66" s="57">
        <f t="shared" si="24"/>
        <v>0</v>
      </c>
      <c r="P66" s="57">
        <f t="shared" si="24"/>
        <v>0</v>
      </c>
      <c r="Q66" s="57">
        <f t="shared" si="24"/>
        <v>0</v>
      </c>
      <c r="R66" s="57">
        <f t="shared" si="24"/>
        <v>0</v>
      </c>
      <c r="S66" s="57">
        <f t="shared" si="24"/>
        <v>0</v>
      </c>
      <c r="T66" s="57">
        <f xml:space="preserve"> T$14</f>
        <v>0</v>
      </c>
      <c r="U66" s="57">
        <f xml:space="preserve"> U$14</f>
        <v>0</v>
      </c>
      <c r="V66" s="57">
        <f xml:space="preserve"> V$14</f>
        <v>0</v>
      </c>
      <c r="W66" s="57">
        <f xml:space="preserve"> W$14</f>
        <v>0</v>
      </c>
    </row>
    <row r="67" spans="1:23" hidden="1" outlineLevel="1">
      <c r="E67" s="57" t="str">
        <f xml:space="preserve"> E$41</f>
        <v>Forecast start period flag</v>
      </c>
      <c r="F67" s="57">
        <f xml:space="preserve"> F$41</f>
        <v>0</v>
      </c>
      <c r="G67" s="57" t="str">
        <f xml:space="preserve"> G$41</f>
        <v>flag</v>
      </c>
      <c r="H67" s="57">
        <f xml:space="preserve"> H$41</f>
        <v>1</v>
      </c>
      <c r="I67" s="57">
        <f xml:space="preserve"> I$41</f>
        <v>0</v>
      </c>
      <c r="J67" s="57">
        <f t="shared" ref="J67:S67" si="25" xml:space="preserve"> J$41</f>
        <v>0</v>
      </c>
      <c r="K67" s="57">
        <f t="shared" si="25"/>
        <v>0</v>
      </c>
      <c r="L67" s="57">
        <f t="shared" si="25"/>
        <v>0</v>
      </c>
      <c r="M67" s="57">
        <f t="shared" si="25"/>
        <v>0</v>
      </c>
      <c r="N67" s="57">
        <f t="shared" si="25"/>
        <v>0</v>
      </c>
      <c r="O67" s="57">
        <f t="shared" si="25"/>
        <v>0</v>
      </c>
      <c r="P67" s="57">
        <f t="shared" si="25"/>
        <v>1</v>
      </c>
      <c r="Q67" s="57">
        <f t="shared" si="25"/>
        <v>0</v>
      </c>
      <c r="R67" s="57">
        <f t="shared" si="25"/>
        <v>0</v>
      </c>
      <c r="S67" s="57">
        <f t="shared" si="25"/>
        <v>0</v>
      </c>
      <c r="T67" s="57">
        <f xml:space="preserve"> T$41</f>
        <v>0</v>
      </c>
      <c r="U67" s="57">
        <f xml:space="preserve"> U$41</f>
        <v>0</v>
      </c>
      <c r="V67" s="57">
        <f xml:space="preserve"> V$41</f>
        <v>0</v>
      </c>
      <c r="W67" s="57">
        <f xml:space="preserve"> W$41</f>
        <v>0</v>
      </c>
    </row>
    <row r="68" spans="1:23" s="14" customFormat="1" hidden="1" outlineLevel="1">
      <c r="A68" s="90"/>
      <c r="B68" s="90"/>
      <c r="C68" s="91"/>
      <c r="D68" s="58"/>
      <c r="E68" s="57" t="s">
        <v>253</v>
      </c>
      <c r="F68" s="57"/>
      <c r="G68" s="57" t="s">
        <v>240</v>
      </c>
      <c r="H68" s="57">
        <f xml:space="preserve"> SUM(J68:W68)</f>
        <v>6</v>
      </c>
      <c r="I68" s="15"/>
      <c r="J68" s="57">
        <f xml:space="preserve"> J66 + I68 - J67</f>
        <v>1</v>
      </c>
      <c r="K68" s="57">
        <f t="shared" ref="K68:R68" si="26" xml:space="preserve"> K66 + J68 - K67</f>
        <v>1</v>
      </c>
      <c r="L68" s="57">
        <f t="shared" si="26"/>
        <v>1</v>
      </c>
      <c r="M68" s="57">
        <f t="shared" si="26"/>
        <v>1</v>
      </c>
      <c r="N68" s="57">
        <f t="shared" si="26"/>
        <v>1</v>
      </c>
      <c r="O68" s="57">
        <f t="shared" si="26"/>
        <v>1</v>
      </c>
      <c r="P68" s="57">
        <f t="shared" si="26"/>
        <v>0</v>
      </c>
      <c r="Q68" s="57">
        <f t="shared" si="26"/>
        <v>0</v>
      </c>
      <c r="R68" s="57">
        <f t="shared" si="26"/>
        <v>0</v>
      </c>
      <c r="S68" s="57">
        <f xml:space="preserve"> S66 + R68 - S67</f>
        <v>0</v>
      </c>
      <c r="T68" s="57">
        <f xml:space="preserve"> T66 + S68 - T67</f>
        <v>0</v>
      </c>
      <c r="U68" s="57">
        <f xml:space="preserve"> U66 + T68 - U67</f>
        <v>0</v>
      </c>
      <c r="V68" s="57">
        <f xml:space="preserve"> V66 + U68 - V67</f>
        <v>0</v>
      </c>
      <c r="W68" s="57">
        <f xml:space="preserve"> W66 + V68 - W67</f>
        <v>0</v>
      </c>
    </row>
    <row r="69" spans="1:23" hidden="1" outlineLevel="1">
      <c r="E69" s="57" t="s">
        <v>254</v>
      </c>
      <c r="F69" s="57">
        <f xml:space="preserve"> SUM(J68:W68)</f>
        <v>6</v>
      </c>
      <c r="G69" s="57" t="s">
        <v>251</v>
      </c>
      <c r="H69" s="57"/>
      <c r="I69" s="101"/>
      <c r="J69" s="57"/>
      <c r="K69" s="57"/>
      <c r="L69" s="57"/>
      <c r="M69" s="57"/>
      <c r="N69" s="57"/>
      <c r="O69" s="57"/>
      <c r="P69" s="57"/>
      <c r="Q69" s="57"/>
      <c r="R69" s="57"/>
      <c r="S69" s="57"/>
      <c r="T69" s="57"/>
      <c r="U69" s="57"/>
      <c r="V69" s="57"/>
      <c r="W69" s="57"/>
    </row>
    <row r="70" spans="1:23" hidden="1" outlineLevel="1">
      <c r="E70" s="57"/>
      <c r="F70" s="57"/>
      <c r="G70" s="57"/>
      <c r="H70" s="57"/>
      <c r="I70" s="15"/>
      <c r="J70" s="57"/>
      <c r="K70" s="57"/>
      <c r="L70" s="57"/>
      <c r="M70" s="57"/>
      <c r="N70" s="57"/>
      <c r="O70" s="57"/>
      <c r="P70" s="57"/>
      <c r="Q70" s="57"/>
      <c r="R70" s="57"/>
      <c r="S70" s="57"/>
      <c r="T70" s="57"/>
      <c r="U70" s="57"/>
      <c r="V70" s="57"/>
      <c r="W70" s="57"/>
    </row>
    <row r="71" spans="1:23" hidden="1" outlineLevel="1">
      <c r="E71" s="57" t="str">
        <f xml:space="preserve"> E$41</f>
        <v>Forecast start period flag</v>
      </c>
      <c r="F71" s="57">
        <f xml:space="preserve"> F$41</f>
        <v>0</v>
      </c>
      <c r="G71" s="57" t="str">
        <f xml:space="preserve"> G$41</f>
        <v>flag</v>
      </c>
      <c r="H71" s="57">
        <f xml:space="preserve"> H$41</f>
        <v>1</v>
      </c>
      <c r="I71" s="57">
        <f xml:space="preserve"> I$41</f>
        <v>0</v>
      </c>
      <c r="J71" s="57">
        <f t="shared" ref="J71:S71" si="27" xml:space="preserve"> J$41</f>
        <v>0</v>
      </c>
      <c r="K71" s="57">
        <f t="shared" si="27"/>
        <v>0</v>
      </c>
      <c r="L71" s="57">
        <f t="shared" si="27"/>
        <v>0</v>
      </c>
      <c r="M71" s="57">
        <f t="shared" si="27"/>
        <v>0</v>
      </c>
      <c r="N71" s="57">
        <f t="shared" si="27"/>
        <v>0</v>
      </c>
      <c r="O71" s="57">
        <f t="shared" si="27"/>
        <v>0</v>
      </c>
      <c r="P71" s="57">
        <f t="shared" si="27"/>
        <v>1</v>
      </c>
      <c r="Q71" s="57">
        <f t="shared" si="27"/>
        <v>0</v>
      </c>
      <c r="R71" s="57">
        <f t="shared" si="27"/>
        <v>0</v>
      </c>
      <c r="S71" s="57">
        <f t="shared" si="27"/>
        <v>0</v>
      </c>
      <c r="T71" s="57">
        <f xml:space="preserve"> T$41</f>
        <v>0</v>
      </c>
      <c r="U71" s="57">
        <f xml:space="preserve"> U$41</f>
        <v>0</v>
      </c>
      <c r="V71" s="57">
        <f xml:space="preserve"> V$41</f>
        <v>0</v>
      </c>
      <c r="W71" s="57">
        <f xml:space="preserve"> W$41</f>
        <v>0</v>
      </c>
    </row>
    <row r="72" spans="1:23" hidden="1" outlineLevel="1">
      <c r="E72" s="55" t="s">
        <v>255</v>
      </c>
      <c r="F72" s="97"/>
      <c r="G72" s="97" t="s">
        <v>240</v>
      </c>
      <c r="H72" s="97">
        <f xml:space="preserve"> SUM(J72:W72)</f>
        <v>1</v>
      </c>
      <c r="I72" s="55"/>
      <c r="J72" s="97">
        <f xml:space="preserve"> K71</f>
        <v>0</v>
      </c>
      <c r="K72" s="97">
        <f t="shared" ref="K72:Q72" si="28" xml:space="preserve"> L71</f>
        <v>0</v>
      </c>
      <c r="L72" s="97">
        <f t="shared" si="28"/>
        <v>0</v>
      </c>
      <c r="M72" s="97">
        <f t="shared" si="28"/>
        <v>0</v>
      </c>
      <c r="N72" s="97">
        <f t="shared" si="28"/>
        <v>0</v>
      </c>
      <c r="O72" s="97">
        <f t="shared" si="28"/>
        <v>1</v>
      </c>
      <c r="P72" s="97">
        <f t="shared" si="28"/>
        <v>0</v>
      </c>
      <c r="Q72" s="97">
        <f t="shared" si="28"/>
        <v>0</v>
      </c>
      <c r="R72" s="97">
        <f t="shared" ref="R72:W72" si="29" xml:space="preserve"> S71</f>
        <v>0</v>
      </c>
      <c r="S72" s="97">
        <f t="shared" si="29"/>
        <v>0</v>
      </c>
      <c r="T72" s="97">
        <f t="shared" si="29"/>
        <v>0</v>
      </c>
      <c r="U72" s="97">
        <f t="shared" si="29"/>
        <v>0</v>
      </c>
      <c r="V72" s="97">
        <f t="shared" si="29"/>
        <v>0</v>
      </c>
      <c r="W72" s="97">
        <f t="shared" si="29"/>
        <v>0</v>
      </c>
    </row>
    <row r="73" spans="1:23" hidden="1" outlineLevel="1">
      <c r="E73" s="57"/>
      <c r="F73" s="57"/>
      <c r="G73" s="57"/>
      <c r="H73" s="57"/>
      <c r="I73" s="101"/>
      <c r="J73" s="57"/>
      <c r="K73" s="57"/>
      <c r="L73" s="57"/>
      <c r="M73" s="57"/>
      <c r="N73" s="57"/>
      <c r="O73" s="57"/>
      <c r="P73" s="57"/>
      <c r="Q73" s="57"/>
      <c r="R73" s="57"/>
      <c r="S73" s="57"/>
      <c r="T73" s="57"/>
      <c r="U73" s="57"/>
      <c r="V73" s="57"/>
      <c r="W73" s="57"/>
    </row>
    <row r="74" spans="1:23" hidden="1" outlineLevel="1">
      <c r="B74" s="90" t="s">
        <v>256</v>
      </c>
      <c r="E74" s="57"/>
      <c r="F74" s="57"/>
      <c r="G74" s="57"/>
      <c r="H74" s="57"/>
      <c r="I74" s="101"/>
      <c r="J74" s="57"/>
      <c r="K74" s="57"/>
      <c r="L74" s="57"/>
      <c r="M74" s="57"/>
      <c r="N74" s="57"/>
      <c r="O74" s="57"/>
      <c r="P74" s="57"/>
      <c r="Q74" s="57"/>
      <c r="R74" s="57"/>
      <c r="S74" s="57"/>
      <c r="T74" s="57"/>
      <c r="U74" s="57"/>
      <c r="V74" s="57"/>
      <c r="W74" s="57"/>
    </row>
    <row r="75" spans="1:23" hidden="1" outlineLevel="1">
      <c r="E75" s="57" t="str">
        <f xml:space="preserve"> E$51</f>
        <v>Forecast end period flag</v>
      </c>
      <c r="F75" s="57">
        <f t="shared" ref="F75:S75" si="30" xml:space="preserve"> F$51</f>
        <v>0</v>
      </c>
      <c r="G75" s="57" t="str">
        <f t="shared" si="30"/>
        <v>flag</v>
      </c>
      <c r="H75" s="57">
        <f t="shared" si="30"/>
        <v>1</v>
      </c>
      <c r="I75" s="57">
        <f t="shared" si="30"/>
        <v>0</v>
      </c>
      <c r="J75" s="57">
        <f t="shared" si="30"/>
        <v>0</v>
      </c>
      <c r="K75" s="57">
        <f t="shared" si="30"/>
        <v>0</v>
      </c>
      <c r="L75" s="57">
        <f t="shared" si="30"/>
        <v>0</v>
      </c>
      <c r="M75" s="57">
        <f t="shared" si="30"/>
        <v>0</v>
      </c>
      <c r="N75" s="57">
        <f t="shared" si="30"/>
        <v>0</v>
      </c>
      <c r="O75" s="57">
        <f t="shared" si="30"/>
        <v>0</v>
      </c>
      <c r="P75" s="57">
        <f t="shared" si="30"/>
        <v>0</v>
      </c>
      <c r="Q75" s="57">
        <f t="shared" si="30"/>
        <v>0</v>
      </c>
      <c r="R75" s="57">
        <f t="shared" si="30"/>
        <v>0</v>
      </c>
      <c r="S75" s="57">
        <f t="shared" si="30"/>
        <v>0</v>
      </c>
      <c r="T75" s="57">
        <f xml:space="preserve"> T$51</f>
        <v>1</v>
      </c>
      <c r="U75" s="57">
        <f xml:space="preserve"> U$51</f>
        <v>0</v>
      </c>
      <c r="V75" s="57">
        <f xml:space="preserve"> V$51</f>
        <v>0</v>
      </c>
      <c r="W75" s="57">
        <f xml:space="preserve"> W$51</f>
        <v>0</v>
      </c>
    </row>
    <row r="76" spans="1:23" s="176" customFormat="1" hidden="1" outlineLevel="1">
      <c r="A76" s="151"/>
      <c r="B76" s="151"/>
      <c r="C76" s="152"/>
      <c r="D76" s="153"/>
      <c r="E76" s="74" t="s">
        <v>256</v>
      </c>
      <c r="F76" s="74"/>
      <c r="G76" s="74" t="s">
        <v>240</v>
      </c>
      <c r="H76" s="74">
        <f xml:space="preserve"> SUM(J76:W76)</f>
        <v>1</v>
      </c>
      <c r="I76" s="15"/>
      <c r="J76" s="74">
        <f xml:space="preserve"> I75</f>
        <v>0</v>
      </c>
      <c r="K76" s="74">
        <f t="shared" ref="K76:R76" si="31" xml:space="preserve"> J75</f>
        <v>0</v>
      </c>
      <c r="L76" s="74">
        <f t="shared" si="31"/>
        <v>0</v>
      </c>
      <c r="M76" s="74">
        <f t="shared" si="31"/>
        <v>0</v>
      </c>
      <c r="N76" s="74">
        <f t="shared" si="31"/>
        <v>0</v>
      </c>
      <c r="O76" s="74">
        <f t="shared" si="31"/>
        <v>0</v>
      </c>
      <c r="P76" s="74">
        <f t="shared" si="31"/>
        <v>0</v>
      </c>
      <c r="Q76" s="74">
        <f t="shared" si="31"/>
        <v>0</v>
      </c>
      <c r="R76" s="74">
        <f t="shared" si="31"/>
        <v>0</v>
      </c>
      <c r="S76" s="74">
        <f xml:space="preserve"> R75</f>
        <v>0</v>
      </c>
      <c r="T76" s="74">
        <f xml:space="preserve"> S75</f>
        <v>0</v>
      </c>
      <c r="U76" s="74">
        <f xml:space="preserve"> T75</f>
        <v>1</v>
      </c>
      <c r="V76" s="74">
        <f xml:space="preserve"> U75</f>
        <v>0</v>
      </c>
      <c r="W76" s="74">
        <f xml:space="preserve"> V75</f>
        <v>0</v>
      </c>
    </row>
    <row r="77" spans="1:23" hidden="1" outlineLevel="1">
      <c r="E77" s="57"/>
      <c r="F77" s="57"/>
      <c r="G77" s="57"/>
      <c r="H77" s="57"/>
      <c r="I77" s="101"/>
      <c r="J77" s="57"/>
      <c r="K77" s="57"/>
      <c r="L77" s="57"/>
      <c r="M77" s="57"/>
      <c r="N77" s="57"/>
      <c r="O77" s="57"/>
      <c r="P77" s="57"/>
      <c r="Q77" s="57"/>
      <c r="R77" s="57"/>
      <c r="S77" s="57"/>
      <c r="T77" s="57"/>
      <c r="U77" s="57"/>
      <c r="V77" s="57"/>
      <c r="W77" s="57"/>
    </row>
    <row r="78" spans="1:23" hidden="1" outlineLevel="1">
      <c r="B78" s="90" t="s">
        <v>257</v>
      </c>
      <c r="E78" s="57"/>
      <c r="F78" s="57"/>
      <c r="G78" s="57"/>
      <c r="H78" s="57"/>
      <c r="I78" s="101"/>
      <c r="J78" s="57"/>
      <c r="K78" s="57"/>
      <c r="L78" s="57"/>
      <c r="M78" s="57"/>
      <c r="N78" s="57"/>
      <c r="O78" s="57"/>
      <c r="P78" s="57"/>
      <c r="Q78" s="57"/>
      <c r="R78" s="57"/>
      <c r="S78" s="57"/>
      <c r="T78" s="57"/>
      <c r="U78" s="57"/>
      <c r="V78" s="57"/>
      <c r="W78" s="57"/>
    </row>
    <row r="79" spans="1:23" hidden="1" outlineLevel="1">
      <c r="E79" s="57" t="str">
        <f t="shared" ref="E79:S79" si="32" xml:space="preserve"> E$76</f>
        <v>First post-forecast period flag</v>
      </c>
      <c r="F79" s="57">
        <f t="shared" si="32"/>
        <v>0</v>
      </c>
      <c r="G79" s="57" t="str">
        <f t="shared" si="32"/>
        <v>flag</v>
      </c>
      <c r="H79" s="57">
        <f t="shared" si="32"/>
        <v>1</v>
      </c>
      <c r="I79" s="57">
        <f t="shared" si="32"/>
        <v>0</v>
      </c>
      <c r="J79" s="57">
        <f t="shared" si="32"/>
        <v>0</v>
      </c>
      <c r="K79" s="57">
        <f t="shared" si="32"/>
        <v>0</v>
      </c>
      <c r="L79" s="57">
        <f t="shared" si="32"/>
        <v>0</v>
      </c>
      <c r="M79" s="57">
        <f t="shared" si="32"/>
        <v>0</v>
      </c>
      <c r="N79" s="57">
        <f t="shared" si="32"/>
        <v>0</v>
      </c>
      <c r="O79" s="57">
        <f t="shared" si="32"/>
        <v>0</v>
      </c>
      <c r="P79" s="57">
        <f t="shared" si="32"/>
        <v>0</v>
      </c>
      <c r="Q79" s="57">
        <f t="shared" si="32"/>
        <v>0</v>
      </c>
      <c r="R79" s="57">
        <f t="shared" si="32"/>
        <v>0</v>
      </c>
      <c r="S79" s="57">
        <f t="shared" si="32"/>
        <v>0</v>
      </c>
      <c r="T79" s="57">
        <f xml:space="preserve"> T$76</f>
        <v>0</v>
      </c>
      <c r="U79" s="57">
        <f xml:space="preserve"> U$76</f>
        <v>1</v>
      </c>
      <c r="V79" s="57">
        <f xml:space="preserve"> V$76</f>
        <v>0</v>
      </c>
      <c r="W79" s="57">
        <f xml:space="preserve"> W$76</f>
        <v>0</v>
      </c>
    </row>
    <row r="80" spans="1:23" hidden="1" outlineLevel="1">
      <c r="E80" s="57" t="s">
        <v>257</v>
      </c>
      <c r="F80" s="57"/>
      <c r="G80" s="57" t="s">
        <v>240</v>
      </c>
      <c r="H80" s="57">
        <f xml:space="preserve"> SUM(J80:W80)</f>
        <v>3</v>
      </c>
      <c r="I80" s="101"/>
      <c r="J80" s="57">
        <f xml:space="preserve"> J79 + I80</f>
        <v>0</v>
      </c>
      <c r="K80" s="57">
        <f t="shared" ref="K80:R80" si="33" xml:space="preserve"> K79 + J80</f>
        <v>0</v>
      </c>
      <c r="L80" s="57">
        <f t="shared" si="33"/>
        <v>0</v>
      </c>
      <c r="M80" s="57">
        <f t="shared" si="33"/>
        <v>0</v>
      </c>
      <c r="N80" s="57">
        <f t="shared" si="33"/>
        <v>0</v>
      </c>
      <c r="O80" s="57">
        <f t="shared" si="33"/>
        <v>0</v>
      </c>
      <c r="P80" s="57">
        <f t="shared" si="33"/>
        <v>0</v>
      </c>
      <c r="Q80" s="57">
        <f t="shared" si="33"/>
        <v>0</v>
      </c>
      <c r="R80" s="57">
        <f t="shared" si="33"/>
        <v>0</v>
      </c>
      <c r="S80" s="57">
        <f xml:space="preserve"> S79 + R80</f>
        <v>0</v>
      </c>
      <c r="T80" s="57">
        <f xml:space="preserve"> T79 + S80</f>
        <v>0</v>
      </c>
      <c r="U80" s="57">
        <f xml:space="preserve"> U79 + T80</f>
        <v>1</v>
      </c>
      <c r="V80" s="57">
        <f xml:space="preserve"> V79 + U80</f>
        <v>1</v>
      </c>
      <c r="W80" s="57">
        <f xml:space="preserve"> W79 + V80</f>
        <v>1</v>
      </c>
    </row>
    <row r="81" spans="1:23" hidden="1" outlineLevel="1">
      <c r="E81" s="57" t="s">
        <v>258</v>
      </c>
      <c r="F81" s="57">
        <f xml:space="preserve"> SUM(J80:W80)</f>
        <v>3</v>
      </c>
      <c r="G81" s="57" t="s">
        <v>251</v>
      </c>
      <c r="H81" s="57"/>
      <c r="I81" s="101"/>
      <c r="J81" s="57"/>
      <c r="K81" s="57"/>
      <c r="L81" s="57"/>
      <c r="M81" s="57"/>
      <c r="N81" s="57"/>
      <c r="O81" s="57"/>
      <c r="P81" s="57"/>
      <c r="Q81" s="57"/>
      <c r="R81" s="57"/>
      <c r="S81" s="57"/>
      <c r="T81" s="57"/>
      <c r="U81" s="57"/>
      <c r="V81" s="57"/>
      <c r="W81" s="57"/>
    </row>
    <row r="82" spans="1:23" hidden="1" outlineLevel="1">
      <c r="E82" s="57"/>
      <c r="F82" s="57"/>
      <c r="G82" s="57"/>
      <c r="H82" s="57"/>
      <c r="I82" s="101"/>
      <c r="J82" s="57"/>
      <c r="K82" s="57"/>
      <c r="L82" s="57"/>
      <c r="M82" s="57"/>
      <c r="N82" s="57"/>
      <c r="O82" s="57"/>
      <c r="P82" s="57"/>
      <c r="Q82" s="57"/>
      <c r="R82" s="57"/>
      <c r="S82" s="57"/>
      <c r="T82" s="57"/>
      <c r="U82" s="57"/>
      <c r="V82" s="57"/>
      <c r="W82" s="57"/>
    </row>
    <row r="83" spans="1:23" hidden="1" outlineLevel="1">
      <c r="B83" s="90" t="s">
        <v>259</v>
      </c>
      <c r="E83" s="57"/>
      <c r="F83" s="57"/>
      <c r="G83" s="57"/>
      <c r="H83" s="57"/>
      <c r="I83" s="101"/>
      <c r="J83" s="57"/>
      <c r="K83" s="57"/>
      <c r="L83" s="57"/>
      <c r="M83" s="57"/>
      <c r="N83" s="57"/>
      <c r="O83" s="57"/>
      <c r="P83" s="57"/>
      <c r="Q83" s="57"/>
      <c r="R83" s="57"/>
      <c r="S83" s="57"/>
      <c r="T83" s="57"/>
      <c r="U83" s="57"/>
      <c r="V83" s="57"/>
      <c r="W83" s="57"/>
    </row>
    <row r="84" spans="1:23" hidden="1" outlineLevel="1">
      <c r="E84" s="57" t="str">
        <f xml:space="preserve"> E$56</f>
        <v>Forecast period flag</v>
      </c>
      <c r="F84" s="57">
        <f xml:space="preserve"> F$56</f>
        <v>0</v>
      </c>
      <c r="G84" s="57" t="str">
        <f xml:space="preserve"> G$56</f>
        <v>flag</v>
      </c>
      <c r="H84" s="57">
        <f xml:space="preserve"> H$56</f>
        <v>5</v>
      </c>
      <c r="I84" s="57">
        <f xml:space="preserve"> I$56</f>
        <v>0</v>
      </c>
      <c r="J84" s="57">
        <f t="shared" ref="J84:S84" si="34" xml:space="preserve"> J$56</f>
        <v>0</v>
      </c>
      <c r="K84" s="57">
        <f t="shared" si="34"/>
        <v>0</v>
      </c>
      <c r="L84" s="57">
        <f t="shared" si="34"/>
        <v>0</v>
      </c>
      <c r="M84" s="57">
        <f t="shared" si="34"/>
        <v>0</v>
      </c>
      <c r="N84" s="57">
        <f t="shared" si="34"/>
        <v>0</v>
      </c>
      <c r="O84" s="57">
        <f t="shared" si="34"/>
        <v>0</v>
      </c>
      <c r="P84" s="57">
        <f t="shared" si="34"/>
        <v>1</v>
      </c>
      <c r="Q84" s="57">
        <f t="shared" si="34"/>
        <v>1</v>
      </c>
      <c r="R84" s="57">
        <f t="shared" si="34"/>
        <v>1</v>
      </c>
      <c r="S84" s="57">
        <f t="shared" si="34"/>
        <v>1</v>
      </c>
      <c r="T84" s="57">
        <f xml:space="preserve"> T$56</f>
        <v>1</v>
      </c>
      <c r="U84" s="57">
        <f xml:space="preserve"> U$56</f>
        <v>0</v>
      </c>
      <c r="V84" s="57">
        <f xml:space="preserve"> V$56</f>
        <v>0</v>
      </c>
      <c r="W84" s="57">
        <f xml:space="preserve"> W$56</f>
        <v>0</v>
      </c>
    </row>
    <row r="85" spans="1:23" hidden="1" outlineLevel="1">
      <c r="E85" s="57" t="str">
        <f xml:space="preserve"> E$68</f>
        <v>Pre-forecast period flag</v>
      </c>
      <c r="F85" s="57">
        <f xml:space="preserve"> F$68</f>
        <v>0</v>
      </c>
      <c r="G85" s="57" t="str">
        <f xml:space="preserve"> G$68</f>
        <v>flag</v>
      </c>
      <c r="H85" s="57">
        <f xml:space="preserve"> H$68</f>
        <v>6</v>
      </c>
      <c r="I85" s="57">
        <f xml:space="preserve"> I$68</f>
        <v>0</v>
      </c>
      <c r="J85" s="57">
        <f t="shared" ref="J85:S85" si="35" xml:space="preserve"> J$68</f>
        <v>1</v>
      </c>
      <c r="K85" s="57">
        <f t="shared" si="35"/>
        <v>1</v>
      </c>
      <c r="L85" s="57">
        <f t="shared" si="35"/>
        <v>1</v>
      </c>
      <c r="M85" s="57">
        <f t="shared" si="35"/>
        <v>1</v>
      </c>
      <c r="N85" s="57">
        <f t="shared" si="35"/>
        <v>1</v>
      </c>
      <c r="O85" s="57">
        <f t="shared" si="35"/>
        <v>1</v>
      </c>
      <c r="P85" s="57">
        <f t="shared" si="35"/>
        <v>0</v>
      </c>
      <c r="Q85" s="57">
        <f t="shared" si="35"/>
        <v>0</v>
      </c>
      <c r="R85" s="57">
        <f t="shared" si="35"/>
        <v>0</v>
      </c>
      <c r="S85" s="57">
        <f t="shared" si="35"/>
        <v>0</v>
      </c>
      <c r="T85" s="57">
        <f xml:space="preserve"> T$68</f>
        <v>0</v>
      </c>
      <c r="U85" s="57">
        <f xml:space="preserve"> U$68</f>
        <v>0</v>
      </c>
      <c r="V85" s="57">
        <f xml:space="preserve"> V$68</f>
        <v>0</v>
      </c>
      <c r="W85" s="57">
        <f xml:space="preserve"> W$68</f>
        <v>0</v>
      </c>
    </row>
    <row r="86" spans="1:23" s="176" customFormat="1" hidden="1" outlineLevel="1">
      <c r="A86" s="151"/>
      <c r="B86" s="151"/>
      <c r="C86" s="152"/>
      <c r="D86" s="153"/>
      <c r="E86" s="129" t="s">
        <v>259</v>
      </c>
      <c r="F86" s="74"/>
      <c r="G86" s="74" t="s">
        <v>240</v>
      </c>
      <c r="H86" s="74">
        <f xml:space="preserve"> SUM(J86:W86)</f>
        <v>11</v>
      </c>
      <c r="I86" s="129"/>
      <c r="J86" s="74">
        <f xml:space="preserve"> MAX(J84:J85)</f>
        <v>1</v>
      </c>
      <c r="K86" s="74">
        <f t="shared" ref="K86:S86" si="36" xml:space="preserve"> MAX(K84:K85)</f>
        <v>1</v>
      </c>
      <c r="L86" s="74">
        <f t="shared" si="36"/>
        <v>1</v>
      </c>
      <c r="M86" s="74">
        <f t="shared" si="36"/>
        <v>1</v>
      </c>
      <c r="N86" s="74">
        <f t="shared" si="36"/>
        <v>1</v>
      </c>
      <c r="O86" s="74">
        <f t="shared" si="36"/>
        <v>1</v>
      </c>
      <c r="P86" s="74">
        <f t="shared" si="36"/>
        <v>1</v>
      </c>
      <c r="Q86" s="74">
        <f t="shared" si="36"/>
        <v>1</v>
      </c>
      <c r="R86" s="74">
        <f t="shared" si="36"/>
        <v>1</v>
      </c>
      <c r="S86" s="74">
        <f t="shared" si="36"/>
        <v>1</v>
      </c>
      <c r="T86" s="74">
        <f xml:space="preserve"> MAX(T84:T85)</f>
        <v>1</v>
      </c>
      <c r="U86" s="74">
        <f xml:space="preserve"> MAX(U84:U85)</f>
        <v>0</v>
      </c>
      <c r="V86" s="74">
        <f xml:space="preserve"> MAX(V84:V85)</f>
        <v>0</v>
      </c>
      <c r="W86" s="74">
        <f xml:space="preserve"> MAX(W84:W85)</f>
        <v>0</v>
      </c>
    </row>
    <row r="87" spans="1:23" hidden="1" outlineLevel="1">
      <c r="E87" s="57"/>
      <c r="F87" s="57"/>
      <c r="G87" s="57"/>
      <c r="H87" s="57"/>
      <c r="I87" s="101"/>
      <c r="J87" s="57"/>
      <c r="K87" s="57"/>
      <c r="L87" s="57"/>
      <c r="M87" s="57"/>
      <c r="N87" s="57"/>
      <c r="O87" s="57"/>
      <c r="P87" s="57"/>
      <c r="Q87" s="57"/>
      <c r="R87" s="57"/>
      <c r="S87" s="57"/>
      <c r="T87" s="57"/>
      <c r="U87" s="57"/>
      <c r="V87" s="57"/>
      <c r="W87" s="57"/>
    </row>
    <row r="88" spans="1:23" hidden="1" outlineLevel="1">
      <c r="B88" s="90" t="s">
        <v>260</v>
      </c>
      <c r="E88" s="57"/>
      <c r="F88" s="57"/>
      <c r="G88" s="57"/>
      <c r="H88" s="57"/>
      <c r="I88" s="101"/>
      <c r="J88" s="57"/>
      <c r="K88" s="57"/>
      <c r="L88" s="57"/>
      <c r="M88" s="57"/>
      <c r="N88" s="57"/>
      <c r="O88" s="57"/>
      <c r="P88" s="57"/>
      <c r="Q88" s="57"/>
      <c r="R88" s="57"/>
      <c r="S88" s="57"/>
      <c r="T88" s="57"/>
      <c r="U88" s="57"/>
      <c r="V88" s="57"/>
      <c r="W88" s="57"/>
    </row>
    <row r="89" spans="1:23" hidden="1" outlineLevel="1">
      <c r="E89" s="69" t="str">
        <f xml:space="preserve"> E$127</f>
        <v>Financial year ending</v>
      </c>
      <c r="F89" s="69">
        <f t="shared" ref="F89:S89" si="37" xml:space="preserve"> F$127</f>
        <v>0</v>
      </c>
      <c r="G89" s="69" t="str">
        <f t="shared" si="37"/>
        <v>year #</v>
      </c>
      <c r="H89" s="69">
        <f t="shared" si="37"/>
        <v>0</v>
      </c>
      <c r="I89" s="69">
        <f t="shared" si="37"/>
        <v>0</v>
      </c>
      <c r="J89" s="69">
        <f t="shared" si="37"/>
        <v>2015</v>
      </c>
      <c r="K89" s="69">
        <f t="shared" si="37"/>
        <v>2016</v>
      </c>
      <c r="L89" s="69">
        <f t="shared" si="37"/>
        <v>2017</v>
      </c>
      <c r="M89" s="69">
        <f t="shared" si="37"/>
        <v>2018</v>
      </c>
      <c r="N89" s="69">
        <f t="shared" si="37"/>
        <v>2019</v>
      </c>
      <c r="O89" s="69">
        <f t="shared" si="37"/>
        <v>2020</v>
      </c>
      <c r="P89" s="69">
        <f t="shared" si="37"/>
        <v>2021</v>
      </c>
      <c r="Q89" s="69">
        <f t="shared" si="37"/>
        <v>2022</v>
      </c>
      <c r="R89" s="69">
        <f t="shared" si="37"/>
        <v>2023</v>
      </c>
      <c r="S89" s="69">
        <f t="shared" si="37"/>
        <v>2024</v>
      </c>
      <c r="T89" s="69">
        <f xml:space="preserve"> T$127</f>
        <v>2025</v>
      </c>
      <c r="U89" s="69">
        <f xml:space="preserve"> U$127</f>
        <v>2026</v>
      </c>
      <c r="V89" s="69">
        <f xml:space="preserve"> V$127</f>
        <v>2027</v>
      </c>
      <c r="W89" s="69">
        <f xml:space="preserve"> W$127</f>
        <v>2028</v>
      </c>
    </row>
    <row r="90" spans="1:23" hidden="1" outlineLevel="1">
      <c r="E90" s="57" t="str">
        <f xml:space="preserve"> E$41</f>
        <v>Forecast start period flag</v>
      </c>
      <c r="F90" s="57">
        <f t="shared" ref="F90:S90" si="38" xml:space="preserve"> F$41</f>
        <v>0</v>
      </c>
      <c r="G90" s="57" t="str">
        <f t="shared" si="38"/>
        <v>flag</v>
      </c>
      <c r="H90" s="57">
        <f t="shared" si="38"/>
        <v>1</v>
      </c>
      <c r="I90" s="57">
        <f t="shared" si="38"/>
        <v>0</v>
      </c>
      <c r="J90" s="57">
        <f t="shared" si="38"/>
        <v>0</v>
      </c>
      <c r="K90" s="57">
        <f t="shared" si="38"/>
        <v>0</v>
      </c>
      <c r="L90" s="57">
        <f t="shared" si="38"/>
        <v>0</v>
      </c>
      <c r="M90" s="57">
        <f t="shared" si="38"/>
        <v>0</v>
      </c>
      <c r="N90" s="57">
        <f t="shared" si="38"/>
        <v>0</v>
      </c>
      <c r="O90" s="57">
        <f t="shared" si="38"/>
        <v>0</v>
      </c>
      <c r="P90" s="57">
        <f t="shared" si="38"/>
        <v>1</v>
      </c>
      <c r="Q90" s="57">
        <f t="shared" si="38"/>
        <v>0</v>
      </c>
      <c r="R90" s="57">
        <f t="shared" si="38"/>
        <v>0</v>
      </c>
      <c r="S90" s="57">
        <f t="shared" si="38"/>
        <v>0</v>
      </c>
      <c r="T90" s="57">
        <f xml:space="preserve"> T$41</f>
        <v>0</v>
      </c>
      <c r="U90" s="57">
        <f xml:space="preserve"> U$41</f>
        <v>0</v>
      </c>
      <c r="V90" s="57">
        <f xml:space="preserve"> V$41</f>
        <v>0</v>
      </c>
      <c r="W90" s="57">
        <f xml:space="preserve"> W$41</f>
        <v>0</v>
      </c>
    </row>
    <row r="91" spans="1:23" s="176" customFormat="1" hidden="1" outlineLevel="1">
      <c r="A91" s="151"/>
      <c r="B91" s="151"/>
      <c r="C91" s="152"/>
      <c r="D91" s="153"/>
      <c r="E91" s="74" t="s">
        <v>261</v>
      </c>
      <c r="F91" s="178">
        <f xml:space="preserve"> SUMPRODUCT(J90:W90, J89:W89)</f>
        <v>2021</v>
      </c>
      <c r="G91" s="74" t="s">
        <v>147</v>
      </c>
      <c r="H91" s="74"/>
      <c r="I91" s="129"/>
      <c r="J91" s="74"/>
      <c r="K91" s="74"/>
      <c r="L91" s="74"/>
      <c r="M91" s="74"/>
      <c r="N91" s="74"/>
      <c r="O91" s="74"/>
      <c r="P91" s="74"/>
      <c r="Q91" s="74"/>
      <c r="R91" s="74"/>
      <c r="S91" s="74"/>
      <c r="T91" s="74"/>
      <c r="U91" s="74"/>
      <c r="V91" s="74"/>
      <c r="W91" s="74"/>
    </row>
    <row r="92" spans="1:23" hidden="1" outlineLevel="1">
      <c r="E92" s="57"/>
      <c r="F92" s="57"/>
      <c r="G92" s="57"/>
      <c r="H92" s="57"/>
      <c r="I92" s="101"/>
      <c r="J92" s="57"/>
      <c r="K92" s="57"/>
      <c r="L92" s="57"/>
      <c r="M92" s="57"/>
      <c r="N92" s="57"/>
      <c r="O92" s="57"/>
      <c r="P92" s="57"/>
      <c r="Q92" s="57"/>
      <c r="R92" s="57"/>
      <c r="S92" s="57"/>
      <c r="T92" s="57"/>
      <c r="U92" s="57"/>
      <c r="V92" s="57"/>
      <c r="W92" s="57"/>
    </row>
    <row r="93" spans="1:23" ht="12.75" customHeight="1">
      <c r="A93" s="115" t="s">
        <v>262</v>
      </c>
      <c r="B93" s="115"/>
      <c r="C93" s="114"/>
      <c r="D93" s="115"/>
      <c r="E93" s="115"/>
      <c r="F93" s="115"/>
      <c r="G93" s="115"/>
      <c r="H93" s="115"/>
      <c r="I93" s="115"/>
      <c r="J93" s="115"/>
      <c r="K93" s="115"/>
      <c r="L93" s="115"/>
      <c r="M93" s="115"/>
      <c r="N93" s="115"/>
      <c r="O93" s="115"/>
      <c r="P93" s="115"/>
      <c r="Q93" s="115"/>
      <c r="R93" s="115"/>
      <c r="S93" s="115"/>
      <c r="T93" s="115"/>
      <c r="U93" s="115"/>
      <c r="V93" s="115"/>
      <c r="W93" s="115"/>
    </row>
    <row r="94" spans="1:23" ht="12.75" customHeight="1" collapsed="1">
      <c r="E94" s="58"/>
      <c r="F94" s="58"/>
      <c r="G94" s="58"/>
      <c r="H94" s="58"/>
      <c r="I94" s="58"/>
      <c r="J94" s="58"/>
      <c r="K94" s="58"/>
      <c r="L94" s="58"/>
      <c r="M94" s="58"/>
      <c r="N94" s="58"/>
      <c r="O94" s="58"/>
      <c r="P94" s="58"/>
      <c r="Q94" s="58"/>
      <c r="R94" s="58"/>
      <c r="S94" s="58"/>
      <c r="T94" s="58"/>
      <c r="U94" s="58"/>
      <c r="V94" s="58"/>
      <c r="W94" s="58"/>
    </row>
    <row r="95" spans="1:23" hidden="1" outlineLevel="1">
      <c r="B95" s="90" t="s">
        <v>263</v>
      </c>
      <c r="E95" s="57"/>
      <c r="F95" s="8"/>
      <c r="G95" s="21"/>
      <c r="H95" s="21"/>
      <c r="I95" s="92"/>
      <c r="J95" s="21"/>
      <c r="K95" s="21"/>
      <c r="L95" s="21"/>
      <c r="M95" s="21"/>
      <c r="N95" s="92"/>
      <c r="O95" s="21"/>
      <c r="P95" s="21"/>
      <c r="Q95" s="21"/>
      <c r="R95" s="21"/>
      <c r="S95" s="21"/>
      <c r="T95" s="21"/>
      <c r="U95" s="21"/>
      <c r="V95" s="21"/>
      <c r="W95" s="21"/>
    </row>
    <row r="96" spans="1:23" hidden="1" outlineLevel="1">
      <c r="E96" s="57" t="str">
        <f t="shared" ref="E96:S96" si="39" xml:space="preserve"> E$14</f>
        <v>1st model column flag</v>
      </c>
      <c r="F96" s="57">
        <f t="shared" si="39"/>
        <v>0</v>
      </c>
      <c r="G96" s="57" t="str">
        <f t="shared" si="39"/>
        <v>flag</v>
      </c>
      <c r="H96" s="57">
        <f t="shared" si="39"/>
        <v>1</v>
      </c>
      <c r="I96" s="57">
        <f t="shared" si="39"/>
        <v>0</v>
      </c>
      <c r="J96" s="57">
        <f t="shared" si="39"/>
        <v>1</v>
      </c>
      <c r="K96" s="57">
        <f t="shared" si="39"/>
        <v>0</v>
      </c>
      <c r="L96" s="57">
        <f t="shared" si="39"/>
        <v>0</v>
      </c>
      <c r="M96" s="57">
        <f t="shared" si="39"/>
        <v>0</v>
      </c>
      <c r="N96" s="57">
        <f t="shared" si="39"/>
        <v>0</v>
      </c>
      <c r="O96" s="57">
        <f t="shared" si="39"/>
        <v>0</v>
      </c>
      <c r="P96" s="57">
        <f t="shared" si="39"/>
        <v>0</v>
      </c>
      <c r="Q96" s="57">
        <f t="shared" si="39"/>
        <v>0</v>
      </c>
      <c r="R96" s="57">
        <f t="shared" si="39"/>
        <v>0</v>
      </c>
      <c r="S96" s="57">
        <f t="shared" si="39"/>
        <v>0</v>
      </c>
      <c r="T96" s="57">
        <f xml:space="preserve"> T$14</f>
        <v>0</v>
      </c>
      <c r="U96" s="57">
        <f xml:space="preserve"> U$14</f>
        <v>0</v>
      </c>
      <c r="V96" s="57">
        <f xml:space="preserve"> V$14</f>
        <v>0</v>
      </c>
      <c r="W96" s="57">
        <f xml:space="preserve"> W$14</f>
        <v>0</v>
      </c>
    </row>
    <row r="97" spans="1:23" hidden="1" outlineLevel="1">
      <c r="E97" s="57" t="str">
        <f xml:space="preserve"> E$41</f>
        <v>Forecast start period flag</v>
      </c>
      <c r="F97" s="57">
        <f xml:space="preserve"> F$41</f>
        <v>0</v>
      </c>
      <c r="G97" s="57" t="str">
        <f xml:space="preserve"> G$41</f>
        <v>flag</v>
      </c>
      <c r="H97" s="57">
        <f xml:space="preserve"> H$41</f>
        <v>1</v>
      </c>
      <c r="I97" s="57">
        <f xml:space="preserve"> I$41</f>
        <v>0</v>
      </c>
      <c r="J97" s="57">
        <f t="shared" ref="J97:S97" si="40" xml:space="preserve"> J$41</f>
        <v>0</v>
      </c>
      <c r="K97" s="57">
        <f t="shared" si="40"/>
        <v>0</v>
      </c>
      <c r="L97" s="57">
        <f t="shared" si="40"/>
        <v>0</v>
      </c>
      <c r="M97" s="57">
        <f t="shared" si="40"/>
        <v>0</v>
      </c>
      <c r="N97" s="57">
        <f t="shared" si="40"/>
        <v>0</v>
      </c>
      <c r="O97" s="57">
        <f t="shared" si="40"/>
        <v>0</v>
      </c>
      <c r="P97" s="57">
        <f t="shared" si="40"/>
        <v>1</v>
      </c>
      <c r="Q97" s="57">
        <f t="shared" si="40"/>
        <v>0</v>
      </c>
      <c r="R97" s="57">
        <f t="shared" si="40"/>
        <v>0</v>
      </c>
      <c r="S97" s="57">
        <f t="shared" si="40"/>
        <v>0</v>
      </c>
      <c r="T97" s="57">
        <f xml:space="preserve"> T$41</f>
        <v>0</v>
      </c>
      <c r="U97" s="57">
        <f xml:space="preserve"> U$41</f>
        <v>0</v>
      </c>
      <c r="V97" s="57">
        <f xml:space="preserve"> V$41</f>
        <v>0</v>
      </c>
      <c r="W97" s="57">
        <f xml:space="preserve"> W$41</f>
        <v>0</v>
      </c>
    </row>
    <row r="98" spans="1:23" hidden="1" outlineLevel="1">
      <c r="E98" s="57" t="str">
        <f t="shared" ref="E98:S98" si="41" xml:space="preserve"> E$76</f>
        <v>First post-forecast period flag</v>
      </c>
      <c r="F98" s="57">
        <f t="shared" si="41"/>
        <v>0</v>
      </c>
      <c r="G98" s="57" t="str">
        <f t="shared" si="41"/>
        <v>flag</v>
      </c>
      <c r="H98" s="57">
        <f t="shared" si="41"/>
        <v>1</v>
      </c>
      <c r="I98" s="57">
        <f t="shared" si="41"/>
        <v>0</v>
      </c>
      <c r="J98" s="57">
        <f t="shared" si="41"/>
        <v>0</v>
      </c>
      <c r="K98" s="57">
        <f t="shared" si="41"/>
        <v>0</v>
      </c>
      <c r="L98" s="57">
        <f t="shared" si="41"/>
        <v>0</v>
      </c>
      <c r="M98" s="57">
        <f t="shared" si="41"/>
        <v>0</v>
      </c>
      <c r="N98" s="57">
        <f t="shared" si="41"/>
        <v>0</v>
      </c>
      <c r="O98" s="57">
        <f t="shared" si="41"/>
        <v>0</v>
      </c>
      <c r="P98" s="57">
        <f t="shared" si="41"/>
        <v>0</v>
      </c>
      <c r="Q98" s="57">
        <f t="shared" si="41"/>
        <v>0</v>
      </c>
      <c r="R98" s="57">
        <f t="shared" si="41"/>
        <v>0</v>
      </c>
      <c r="S98" s="57">
        <f t="shared" si="41"/>
        <v>0</v>
      </c>
      <c r="T98" s="57">
        <f xml:space="preserve"> T$76</f>
        <v>0</v>
      </c>
      <c r="U98" s="57">
        <f xml:space="preserve"> U$76</f>
        <v>1</v>
      </c>
      <c r="V98" s="57">
        <f xml:space="preserve"> V$76</f>
        <v>0</v>
      </c>
      <c r="W98" s="57">
        <f xml:space="preserve"> W$76</f>
        <v>0</v>
      </c>
    </row>
    <row r="99" spans="1:23" hidden="1" outlineLevel="1">
      <c r="E99" s="23" t="s">
        <v>264</v>
      </c>
      <c r="F99" s="23"/>
      <c r="G99" s="23" t="s">
        <v>236</v>
      </c>
      <c r="H99" s="23"/>
      <c r="I99" s="11"/>
      <c r="J99" s="21">
        <f t="shared" ref="J99:R99" si="42" xml:space="preserve"> I99 + SUM(J96:J98)</f>
        <v>1</v>
      </c>
      <c r="K99" s="21">
        <f t="shared" si="42"/>
        <v>1</v>
      </c>
      <c r="L99" s="21">
        <f t="shared" si="42"/>
        <v>1</v>
      </c>
      <c r="M99" s="21">
        <f t="shared" si="42"/>
        <v>1</v>
      </c>
      <c r="N99" s="21">
        <f t="shared" si="42"/>
        <v>1</v>
      </c>
      <c r="O99" s="21">
        <f t="shared" si="42"/>
        <v>1</v>
      </c>
      <c r="P99" s="21">
        <f t="shared" si="42"/>
        <v>2</v>
      </c>
      <c r="Q99" s="21">
        <f t="shared" si="42"/>
        <v>2</v>
      </c>
      <c r="R99" s="21">
        <f t="shared" si="42"/>
        <v>2</v>
      </c>
      <c r="S99" s="21">
        <f xml:space="preserve"> R99 + SUM(S96:S98)</f>
        <v>2</v>
      </c>
      <c r="T99" s="21">
        <f xml:space="preserve"> S99 + SUM(T96:T98)</f>
        <v>2</v>
      </c>
      <c r="U99" s="21">
        <f xml:space="preserve"> T99 + SUM(U96:U98)</f>
        <v>3</v>
      </c>
      <c r="V99" s="21">
        <f xml:space="preserve"> U99 + SUM(V96:V98)</f>
        <v>3</v>
      </c>
      <c r="W99" s="21">
        <f xml:space="preserve"> V99 + SUM(W96:W98)</f>
        <v>3</v>
      </c>
    </row>
    <row r="100" spans="1:23" hidden="1" outlineLevel="1">
      <c r="E100" s="21"/>
      <c r="F100" s="21"/>
      <c r="G100" s="21"/>
      <c r="H100" s="21"/>
      <c r="I100" s="92"/>
      <c r="J100" s="21"/>
      <c r="K100" s="21"/>
      <c r="L100" s="21"/>
      <c r="M100" s="21"/>
      <c r="N100" s="21"/>
      <c r="O100" s="21"/>
      <c r="P100" s="21"/>
      <c r="Q100" s="21"/>
      <c r="R100" s="21"/>
      <c r="S100" s="21"/>
      <c r="T100" s="21"/>
      <c r="U100" s="21"/>
      <c r="V100" s="21"/>
      <c r="W100" s="21"/>
    </row>
    <row r="101" spans="1:23" hidden="1" outlineLevel="1">
      <c r="E101" s="113" t="str">
        <f xml:space="preserve"> Inputs!E$19</f>
        <v>Pre - forecast period</v>
      </c>
      <c r="F101" s="113" t="str">
        <f xml:space="preserve"> Inputs!F$19</f>
        <v>Pre-Fcst</v>
      </c>
      <c r="G101" s="113" t="str">
        <f xml:space="preserve"> Inputs!G$19</f>
        <v>label</v>
      </c>
      <c r="H101" s="113">
        <f xml:space="preserve"> Inputs!H$19</f>
        <v>0</v>
      </c>
      <c r="I101" s="113">
        <f xml:space="preserve"> Inputs!I$19</f>
        <v>0</v>
      </c>
      <c r="J101" s="113">
        <f xml:space="preserve"> Inputs!J$19</f>
        <v>0</v>
      </c>
      <c r="K101" s="113">
        <f xml:space="preserve"> Inputs!K$19</f>
        <v>0</v>
      </c>
      <c r="L101" s="113">
        <f xml:space="preserve"> Inputs!L$19</f>
        <v>0</v>
      </c>
      <c r="M101" s="113">
        <f xml:space="preserve"> Inputs!M$19</f>
        <v>0</v>
      </c>
      <c r="N101" s="113">
        <f xml:space="preserve"> Inputs!N$19</f>
        <v>0</v>
      </c>
      <c r="O101" s="113">
        <f xml:space="preserve"> Inputs!O$19</f>
        <v>0</v>
      </c>
      <c r="P101" s="113">
        <f xml:space="preserve"> Inputs!P$19</f>
        <v>0</v>
      </c>
      <c r="Q101" s="113">
        <f xml:space="preserve"> Inputs!Q$19</f>
        <v>0</v>
      </c>
      <c r="R101" s="113">
        <f xml:space="preserve"> Inputs!R$19</f>
        <v>0</v>
      </c>
      <c r="S101" s="113">
        <f xml:space="preserve"> Inputs!S$19</f>
        <v>0</v>
      </c>
      <c r="T101" s="113">
        <f xml:space="preserve"> Inputs!T$19</f>
        <v>0</v>
      </c>
      <c r="U101" s="113">
        <f xml:space="preserve"> Inputs!U$19</f>
        <v>0</v>
      </c>
      <c r="V101" s="113">
        <f xml:space="preserve"> Inputs!V$19</f>
        <v>0</v>
      </c>
      <c r="W101" s="113">
        <f xml:space="preserve"> Inputs!W$19</f>
        <v>0</v>
      </c>
    </row>
    <row r="102" spans="1:23" hidden="1" outlineLevel="1">
      <c r="E102" s="113" t="str">
        <f xml:space="preserve"> Inputs!E$20</f>
        <v>Forecast period</v>
      </c>
      <c r="F102" s="113" t="str">
        <f xml:space="preserve"> Inputs!F$20</f>
        <v>Forecast</v>
      </c>
      <c r="G102" s="113" t="str">
        <f xml:space="preserve"> Inputs!G$20</f>
        <v>label</v>
      </c>
      <c r="H102" s="113">
        <f xml:space="preserve"> Inputs!H$20</f>
        <v>0</v>
      </c>
      <c r="I102" s="113">
        <f xml:space="preserve"> Inputs!I$20</f>
        <v>0</v>
      </c>
      <c r="J102" s="113">
        <f xml:space="preserve"> Inputs!J$20</f>
        <v>0</v>
      </c>
      <c r="K102" s="113">
        <f xml:space="preserve"> Inputs!K$20</f>
        <v>0</v>
      </c>
      <c r="L102" s="113">
        <f xml:space="preserve"> Inputs!L$20</f>
        <v>0</v>
      </c>
      <c r="M102" s="113">
        <f xml:space="preserve"> Inputs!M$20</f>
        <v>0</v>
      </c>
      <c r="N102" s="113">
        <f xml:space="preserve"> Inputs!N$20</f>
        <v>0</v>
      </c>
      <c r="O102" s="113">
        <f xml:space="preserve"> Inputs!O$20</f>
        <v>0</v>
      </c>
      <c r="P102" s="113">
        <f xml:space="preserve"> Inputs!P$20</f>
        <v>0</v>
      </c>
      <c r="Q102" s="113">
        <f xml:space="preserve"> Inputs!Q$20</f>
        <v>0</v>
      </c>
      <c r="R102" s="113">
        <f xml:space="preserve"> Inputs!R$20</f>
        <v>0</v>
      </c>
      <c r="S102" s="113">
        <f xml:space="preserve"> Inputs!S$20</f>
        <v>0</v>
      </c>
      <c r="T102" s="113">
        <f xml:space="preserve"> Inputs!T$20</f>
        <v>0</v>
      </c>
      <c r="U102" s="113">
        <f xml:space="preserve"> Inputs!U$20</f>
        <v>0</v>
      </c>
      <c r="V102" s="113">
        <f xml:space="preserve"> Inputs!V$20</f>
        <v>0</v>
      </c>
      <c r="W102" s="113">
        <f xml:space="preserve"> Inputs!W$20</f>
        <v>0</v>
      </c>
    </row>
    <row r="103" spans="1:23" hidden="1" outlineLevel="1">
      <c r="E103" s="113" t="str">
        <f xml:space="preserve"> Inputs!E$21</f>
        <v>Post - forecast period</v>
      </c>
      <c r="F103" s="113" t="str">
        <f xml:space="preserve"> Inputs!F$21</f>
        <v>Post-Fcst</v>
      </c>
      <c r="G103" s="113" t="str">
        <f xml:space="preserve"> Inputs!G$21</f>
        <v>label</v>
      </c>
      <c r="H103" s="113">
        <f xml:space="preserve"> Inputs!H$21</f>
        <v>0</v>
      </c>
      <c r="I103" s="113">
        <f xml:space="preserve"> Inputs!I$21</f>
        <v>0</v>
      </c>
      <c r="J103" s="113">
        <f xml:space="preserve"> Inputs!J$21</f>
        <v>0</v>
      </c>
      <c r="K103" s="113">
        <f xml:space="preserve"> Inputs!K$21</f>
        <v>0</v>
      </c>
      <c r="L103" s="113">
        <f xml:space="preserve"> Inputs!L$21</f>
        <v>0</v>
      </c>
      <c r="M103" s="113">
        <f xml:space="preserve"> Inputs!M$21</f>
        <v>0</v>
      </c>
      <c r="N103" s="113">
        <f xml:space="preserve"> Inputs!N$21</f>
        <v>0</v>
      </c>
      <c r="O103" s="113">
        <f xml:space="preserve"> Inputs!O$21</f>
        <v>0</v>
      </c>
      <c r="P103" s="113">
        <f xml:space="preserve"> Inputs!P$21</f>
        <v>0</v>
      </c>
      <c r="Q103" s="113">
        <f xml:space="preserve"> Inputs!Q$21</f>
        <v>0</v>
      </c>
      <c r="R103" s="113">
        <f xml:space="preserve"> Inputs!R$21</f>
        <v>0</v>
      </c>
      <c r="S103" s="113">
        <f xml:space="preserve"> Inputs!S$21</f>
        <v>0</v>
      </c>
      <c r="T103" s="113">
        <f xml:space="preserve"> Inputs!T$21</f>
        <v>0</v>
      </c>
      <c r="U103" s="113">
        <f xml:space="preserve"> Inputs!U$21</f>
        <v>0</v>
      </c>
      <c r="V103" s="113">
        <f xml:space="preserve"> Inputs!V$21</f>
        <v>0</v>
      </c>
      <c r="W103" s="113">
        <f xml:space="preserve"> Inputs!W$21</f>
        <v>0</v>
      </c>
    </row>
    <row r="104" spans="1:23" hidden="1" outlineLevel="1">
      <c r="E104" s="23" t="str">
        <f t="shared" ref="E104:S104" si="43" xml:space="preserve"> E$99</f>
        <v>Timeline label counter</v>
      </c>
      <c r="F104" s="23">
        <f t="shared" si="43"/>
        <v>0</v>
      </c>
      <c r="G104" s="23" t="str">
        <f t="shared" si="43"/>
        <v>counter</v>
      </c>
      <c r="H104" s="21">
        <f t="shared" si="43"/>
        <v>0</v>
      </c>
      <c r="I104" s="21">
        <f t="shared" si="43"/>
        <v>0</v>
      </c>
      <c r="J104" s="21">
        <f t="shared" si="43"/>
        <v>1</v>
      </c>
      <c r="K104" s="21">
        <f t="shared" si="43"/>
        <v>1</v>
      </c>
      <c r="L104" s="21">
        <f t="shared" si="43"/>
        <v>1</v>
      </c>
      <c r="M104" s="21">
        <f t="shared" si="43"/>
        <v>1</v>
      </c>
      <c r="N104" s="21">
        <f t="shared" si="43"/>
        <v>1</v>
      </c>
      <c r="O104" s="21">
        <f t="shared" si="43"/>
        <v>1</v>
      </c>
      <c r="P104" s="21">
        <f t="shared" si="43"/>
        <v>2</v>
      </c>
      <c r="Q104" s="21">
        <f t="shared" si="43"/>
        <v>2</v>
      </c>
      <c r="R104" s="21">
        <f t="shared" si="43"/>
        <v>2</v>
      </c>
      <c r="S104" s="21">
        <f t="shared" si="43"/>
        <v>2</v>
      </c>
      <c r="T104" s="21">
        <f xml:space="preserve"> T$99</f>
        <v>2</v>
      </c>
      <c r="U104" s="21">
        <f xml:space="preserve"> U$99</f>
        <v>3</v>
      </c>
      <c r="V104" s="21">
        <f xml:space="preserve"> V$99</f>
        <v>3</v>
      </c>
      <c r="W104" s="21">
        <f xml:space="preserve"> W$99</f>
        <v>3</v>
      </c>
    </row>
    <row r="105" spans="1:23" hidden="1" outlineLevel="1">
      <c r="E105" s="97" t="s">
        <v>263</v>
      </c>
      <c r="F105" s="97"/>
      <c r="G105" s="97" t="s">
        <v>155</v>
      </c>
      <c r="H105" s="97"/>
      <c r="I105" s="55"/>
      <c r="J105" s="179" t="str">
        <f t="shared" ref="J105:R105" si="44" xml:space="preserve"> INDEX($F101:$F103, J104)</f>
        <v>Pre-Fcst</v>
      </c>
      <c r="K105" s="179" t="str">
        <f t="shared" si="44"/>
        <v>Pre-Fcst</v>
      </c>
      <c r="L105" s="179" t="str">
        <f t="shared" si="44"/>
        <v>Pre-Fcst</v>
      </c>
      <c r="M105" s="179" t="str">
        <f t="shared" si="44"/>
        <v>Pre-Fcst</v>
      </c>
      <c r="N105" s="179" t="str">
        <f t="shared" si="44"/>
        <v>Pre-Fcst</v>
      </c>
      <c r="O105" s="179" t="str">
        <f t="shared" si="44"/>
        <v>Pre-Fcst</v>
      </c>
      <c r="P105" s="179" t="str">
        <f t="shared" si="44"/>
        <v>Forecast</v>
      </c>
      <c r="Q105" s="179" t="str">
        <f t="shared" si="44"/>
        <v>Forecast</v>
      </c>
      <c r="R105" s="179" t="str">
        <f t="shared" si="44"/>
        <v>Forecast</v>
      </c>
      <c r="S105" s="179" t="str">
        <f xml:space="preserve"> INDEX($F101:$F103, S104)</f>
        <v>Forecast</v>
      </c>
      <c r="T105" s="179" t="str">
        <f xml:space="preserve"> INDEX($F101:$F103, T104)</f>
        <v>Forecast</v>
      </c>
      <c r="U105" s="179" t="str">
        <f xml:space="preserve"> INDEX($F101:$F103, U104)</f>
        <v>Post-Fcst</v>
      </c>
      <c r="V105" s="179" t="str">
        <f xml:space="preserve"> INDEX($F101:$F103, V104)</f>
        <v>Post-Fcst</v>
      </c>
      <c r="W105" s="179" t="str">
        <f xml:space="preserve"> INDEX($F101:$F103, W104)</f>
        <v>Post-Fcst</v>
      </c>
    </row>
    <row r="106" spans="1:23" hidden="1" outlineLevel="1">
      <c r="A106" s="58"/>
      <c r="E106" s="14"/>
      <c r="F106" s="14"/>
      <c r="G106" s="14"/>
      <c r="H106" s="14"/>
      <c r="I106" s="174"/>
      <c r="J106" s="14"/>
      <c r="K106" s="14"/>
      <c r="L106" s="14"/>
      <c r="M106" s="14"/>
      <c r="N106" s="14"/>
      <c r="O106" s="14"/>
      <c r="P106" s="14"/>
      <c r="Q106" s="14"/>
      <c r="R106" s="14"/>
      <c r="S106" s="14"/>
      <c r="T106" s="14"/>
      <c r="U106" s="14"/>
      <c r="V106" s="14"/>
      <c r="W106" s="14"/>
    </row>
    <row r="107" spans="1:23" hidden="1" outlineLevel="1">
      <c r="B107" s="90" t="s">
        <v>265</v>
      </c>
      <c r="E107" s="57"/>
      <c r="F107" s="57"/>
      <c r="G107" s="57"/>
      <c r="H107" s="57"/>
      <c r="I107" s="101"/>
      <c r="J107" s="57"/>
      <c r="K107" s="57"/>
      <c r="L107" s="57"/>
      <c r="M107" s="57"/>
      <c r="N107" s="57"/>
      <c r="O107" s="57"/>
      <c r="P107" s="57"/>
      <c r="Q107" s="57"/>
      <c r="R107" s="57"/>
      <c r="S107" s="57"/>
      <c r="T107" s="57"/>
      <c r="U107" s="57"/>
      <c r="V107" s="57"/>
      <c r="W107" s="57"/>
    </row>
    <row r="108" spans="1:23" hidden="1" outlineLevel="1">
      <c r="E108" s="57" t="str">
        <f xml:space="preserve"> E$68</f>
        <v>Pre-forecast period flag</v>
      </c>
      <c r="F108" s="57">
        <f xml:space="preserve"> F$68</f>
        <v>0</v>
      </c>
      <c r="G108" s="57" t="str">
        <f xml:space="preserve"> G$68</f>
        <v>flag</v>
      </c>
      <c r="H108" s="57">
        <f xml:space="preserve"> H$68</f>
        <v>6</v>
      </c>
      <c r="I108" s="57">
        <f xml:space="preserve"> I$68</f>
        <v>0</v>
      </c>
      <c r="J108" s="57">
        <f t="shared" ref="J108:S108" si="45" xml:space="preserve"> J$68</f>
        <v>1</v>
      </c>
      <c r="K108" s="57">
        <f t="shared" si="45"/>
        <v>1</v>
      </c>
      <c r="L108" s="57">
        <f t="shared" si="45"/>
        <v>1</v>
      </c>
      <c r="M108" s="57">
        <f t="shared" si="45"/>
        <v>1</v>
      </c>
      <c r="N108" s="57">
        <f t="shared" si="45"/>
        <v>1</v>
      </c>
      <c r="O108" s="57">
        <f t="shared" si="45"/>
        <v>1</v>
      </c>
      <c r="P108" s="57">
        <f t="shared" si="45"/>
        <v>0</v>
      </c>
      <c r="Q108" s="57">
        <f t="shared" si="45"/>
        <v>0</v>
      </c>
      <c r="R108" s="57">
        <f t="shared" si="45"/>
        <v>0</v>
      </c>
      <c r="S108" s="57">
        <f t="shared" si="45"/>
        <v>0</v>
      </c>
      <c r="T108" s="57">
        <f xml:space="preserve"> T$68</f>
        <v>0</v>
      </c>
      <c r="U108" s="57">
        <f xml:space="preserve"> U$68</f>
        <v>0</v>
      </c>
      <c r="V108" s="57">
        <f xml:space="preserve"> V$68</f>
        <v>0</v>
      </c>
      <c r="W108" s="57">
        <f xml:space="preserve"> W$68</f>
        <v>0</v>
      </c>
    </row>
    <row r="109" spans="1:23" hidden="1" outlineLevel="1">
      <c r="E109" s="57" t="str">
        <f xml:space="preserve"> E$56</f>
        <v>Forecast period flag</v>
      </c>
      <c r="F109" s="57">
        <f xml:space="preserve"> F$56</f>
        <v>0</v>
      </c>
      <c r="G109" s="57" t="str">
        <f xml:space="preserve"> G$56</f>
        <v>flag</v>
      </c>
      <c r="H109" s="57">
        <f xml:space="preserve"> H$56</f>
        <v>5</v>
      </c>
      <c r="I109" s="57">
        <f xml:space="preserve"> I$56</f>
        <v>0</v>
      </c>
      <c r="J109" s="57">
        <f t="shared" ref="J109:S109" si="46" xml:space="preserve"> J$56</f>
        <v>0</v>
      </c>
      <c r="K109" s="57">
        <f t="shared" si="46"/>
        <v>0</v>
      </c>
      <c r="L109" s="57">
        <f t="shared" si="46"/>
        <v>0</v>
      </c>
      <c r="M109" s="57">
        <f t="shared" si="46"/>
        <v>0</v>
      </c>
      <c r="N109" s="57">
        <f t="shared" si="46"/>
        <v>0</v>
      </c>
      <c r="O109" s="57">
        <f t="shared" si="46"/>
        <v>0</v>
      </c>
      <c r="P109" s="57">
        <f t="shared" si="46"/>
        <v>1</v>
      </c>
      <c r="Q109" s="57">
        <f t="shared" si="46"/>
        <v>1</v>
      </c>
      <c r="R109" s="57">
        <f t="shared" si="46"/>
        <v>1</v>
      </c>
      <c r="S109" s="57">
        <f t="shared" si="46"/>
        <v>1</v>
      </c>
      <c r="T109" s="57">
        <f xml:space="preserve"> T$56</f>
        <v>1</v>
      </c>
      <c r="U109" s="57">
        <f xml:space="preserve"> U$56</f>
        <v>0</v>
      </c>
      <c r="V109" s="57">
        <f xml:space="preserve"> V$56</f>
        <v>0</v>
      </c>
      <c r="W109" s="57">
        <f xml:space="preserve"> W$56</f>
        <v>0</v>
      </c>
    </row>
    <row r="110" spans="1:23" hidden="1" outlineLevel="1">
      <c r="E110" s="57" t="str">
        <f t="shared" ref="E110:S110" si="47" xml:space="preserve"> E$80</f>
        <v>Post-forecast period flag</v>
      </c>
      <c r="F110" s="57">
        <f t="shared" si="47"/>
        <v>0</v>
      </c>
      <c r="G110" s="57" t="str">
        <f t="shared" si="47"/>
        <v>flag</v>
      </c>
      <c r="H110" s="57">
        <f t="shared" si="47"/>
        <v>3</v>
      </c>
      <c r="I110" s="57">
        <f t="shared" si="47"/>
        <v>0</v>
      </c>
      <c r="J110" s="57">
        <f t="shared" si="47"/>
        <v>0</v>
      </c>
      <c r="K110" s="57">
        <f t="shared" si="47"/>
        <v>0</v>
      </c>
      <c r="L110" s="57">
        <f t="shared" si="47"/>
        <v>0</v>
      </c>
      <c r="M110" s="57">
        <f t="shared" si="47"/>
        <v>0</v>
      </c>
      <c r="N110" s="57">
        <f t="shared" si="47"/>
        <v>0</v>
      </c>
      <c r="O110" s="57">
        <f t="shared" si="47"/>
        <v>0</v>
      </c>
      <c r="P110" s="57">
        <f t="shared" si="47"/>
        <v>0</v>
      </c>
      <c r="Q110" s="57">
        <f t="shared" si="47"/>
        <v>0</v>
      </c>
      <c r="R110" s="57">
        <f t="shared" si="47"/>
        <v>0</v>
      </c>
      <c r="S110" s="57">
        <f t="shared" si="47"/>
        <v>0</v>
      </c>
      <c r="T110" s="57">
        <f xml:space="preserve"> T$80</f>
        <v>0</v>
      </c>
      <c r="U110" s="57">
        <f xml:space="preserve"> U$80</f>
        <v>1</v>
      </c>
      <c r="V110" s="57">
        <f xml:space="preserve"> V$80</f>
        <v>1</v>
      </c>
      <c r="W110" s="57">
        <f xml:space="preserve"> W$80</f>
        <v>1</v>
      </c>
    </row>
    <row r="111" spans="1:23" hidden="1" outlineLevel="1">
      <c r="E111" s="57" t="s">
        <v>266</v>
      </c>
      <c r="F111" s="57"/>
      <c r="G111" s="57" t="s">
        <v>105</v>
      </c>
      <c r="H111" s="57">
        <f xml:space="preserve"> SUM(J111:W111)</f>
        <v>0</v>
      </c>
      <c r="I111" s="101"/>
      <c r="J111" s="57">
        <f t="shared" ref="J111:R111" si="48" xml:space="preserve"> MAX(0, SUM(J108:J110) - 1)</f>
        <v>0</v>
      </c>
      <c r="K111" s="57">
        <f t="shared" si="48"/>
        <v>0</v>
      </c>
      <c r="L111" s="57">
        <f t="shared" si="48"/>
        <v>0</v>
      </c>
      <c r="M111" s="57">
        <f t="shared" si="48"/>
        <v>0</v>
      </c>
      <c r="N111" s="57">
        <f t="shared" si="48"/>
        <v>0</v>
      </c>
      <c r="O111" s="57">
        <f t="shared" si="48"/>
        <v>0</v>
      </c>
      <c r="P111" s="57">
        <f t="shared" si="48"/>
        <v>0</v>
      </c>
      <c r="Q111" s="57">
        <f t="shared" si="48"/>
        <v>0</v>
      </c>
      <c r="R111" s="57">
        <f t="shared" si="48"/>
        <v>0</v>
      </c>
      <c r="S111" s="57">
        <f xml:space="preserve"> MAX(0, SUM(S108:S110) - 1)</f>
        <v>0</v>
      </c>
      <c r="T111" s="57">
        <f xml:space="preserve"> MAX(0, SUM(T108:T110) - 1)</f>
        <v>0</v>
      </c>
      <c r="U111" s="57">
        <f xml:space="preserve"> MAX(0, SUM(U108:U110) - 1)</f>
        <v>0</v>
      </c>
      <c r="V111" s="57">
        <f xml:space="preserve"> MAX(0, SUM(V108:V110) - 1)</f>
        <v>0</v>
      </c>
      <c r="W111" s="57">
        <f xml:space="preserve"> MAX(0, SUM(W108:W110) - 1)</f>
        <v>0</v>
      </c>
    </row>
    <row r="112" spans="1:23" hidden="1" outlineLevel="1">
      <c r="E112" s="57" t="s">
        <v>267</v>
      </c>
      <c r="F112" s="57">
        <f xml:space="preserve"> SUM(J111:W111)</f>
        <v>0</v>
      </c>
      <c r="G112" s="57" t="s">
        <v>251</v>
      </c>
      <c r="H112" s="57"/>
      <c r="I112" s="101"/>
      <c r="J112" s="57"/>
      <c r="K112" s="57"/>
      <c r="L112" s="57"/>
      <c r="M112" s="57"/>
      <c r="N112" s="57"/>
      <c r="O112" s="57"/>
      <c r="P112" s="57"/>
      <c r="Q112" s="57"/>
      <c r="R112" s="57"/>
      <c r="S112" s="57"/>
      <c r="T112" s="57"/>
      <c r="U112" s="57"/>
      <c r="V112" s="57"/>
      <c r="W112" s="57"/>
    </row>
    <row r="113" spans="1:23" hidden="1" outlineLevel="1">
      <c r="E113" s="57"/>
      <c r="F113" s="57"/>
      <c r="G113" s="57"/>
      <c r="H113" s="57"/>
      <c r="I113" s="101"/>
      <c r="J113" s="57"/>
      <c r="K113" s="57"/>
      <c r="L113" s="57"/>
      <c r="M113" s="57"/>
      <c r="N113" s="57"/>
      <c r="O113" s="57"/>
      <c r="P113" s="57"/>
      <c r="Q113" s="57"/>
      <c r="R113" s="57"/>
      <c r="S113" s="57"/>
      <c r="T113" s="57"/>
      <c r="U113" s="57"/>
      <c r="V113" s="57"/>
      <c r="W113" s="57"/>
    </row>
    <row r="114" spans="1:23" hidden="1" outlineLevel="1">
      <c r="E114" s="57" t="str">
        <f xml:space="preserve"> E$11</f>
        <v>Model column total</v>
      </c>
      <c r="F114" s="57">
        <f xml:space="preserve"> F$11</f>
        <v>14</v>
      </c>
      <c r="G114" s="57" t="str">
        <f xml:space="preserve"> G$11</f>
        <v>columns</v>
      </c>
      <c r="H114" s="57">
        <f t="shared" ref="H114:W114" si="49" xml:space="preserve"> H$11</f>
        <v>0</v>
      </c>
      <c r="I114" s="57">
        <f t="shared" si="49"/>
        <v>0</v>
      </c>
      <c r="J114" s="57">
        <f t="shared" si="49"/>
        <v>0</v>
      </c>
      <c r="K114" s="57">
        <f t="shared" si="49"/>
        <v>0</v>
      </c>
      <c r="L114" s="57">
        <f t="shared" si="49"/>
        <v>0</v>
      </c>
      <c r="M114" s="57">
        <f t="shared" si="49"/>
        <v>0</v>
      </c>
      <c r="N114" s="57">
        <f t="shared" si="49"/>
        <v>0</v>
      </c>
      <c r="O114" s="57">
        <f t="shared" si="49"/>
        <v>0</v>
      </c>
      <c r="P114" s="57">
        <f t="shared" si="49"/>
        <v>0</v>
      </c>
      <c r="Q114" s="57">
        <f t="shared" si="49"/>
        <v>0</v>
      </c>
      <c r="R114" s="57">
        <f t="shared" si="49"/>
        <v>0</v>
      </c>
      <c r="S114" s="57">
        <f t="shared" si="49"/>
        <v>0</v>
      </c>
      <c r="T114" s="57">
        <f t="shared" si="49"/>
        <v>0</v>
      </c>
      <c r="U114" s="57">
        <f t="shared" si="49"/>
        <v>0</v>
      </c>
      <c r="V114" s="57">
        <f t="shared" si="49"/>
        <v>0</v>
      </c>
      <c r="W114" s="57">
        <f t="shared" si="49"/>
        <v>0</v>
      </c>
    </row>
    <row r="115" spans="1:23" hidden="1" outlineLevel="1">
      <c r="E115" s="57" t="str">
        <f xml:space="preserve"> E$112</f>
        <v>Overlapping in periods - total</v>
      </c>
      <c r="F115" s="57">
        <f xml:space="preserve"> F$112</f>
        <v>0</v>
      </c>
      <c r="G115" s="57" t="str">
        <f xml:space="preserve"> G$112</f>
        <v>periods</v>
      </c>
      <c r="H115" s="57">
        <f t="shared" ref="H115:W115" si="50" xml:space="preserve"> H$112</f>
        <v>0</v>
      </c>
      <c r="I115" s="57">
        <f t="shared" si="50"/>
        <v>0</v>
      </c>
      <c r="J115" s="57">
        <f t="shared" si="50"/>
        <v>0</v>
      </c>
      <c r="K115" s="57">
        <f t="shared" si="50"/>
        <v>0</v>
      </c>
      <c r="L115" s="57">
        <f t="shared" si="50"/>
        <v>0</v>
      </c>
      <c r="M115" s="57">
        <f t="shared" si="50"/>
        <v>0</v>
      </c>
      <c r="N115" s="57">
        <f t="shared" si="50"/>
        <v>0</v>
      </c>
      <c r="O115" s="57">
        <f t="shared" si="50"/>
        <v>0</v>
      </c>
      <c r="P115" s="57">
        <f t="shared" si="50"/>
        <v>0</v>
      </c>
      <c r="Q115" s="57">
        <f t="shared" si="50"/>
        <v>0</v>
      </c>
      <c r="R115" s="57">
        <f t="shared" si="50"/>
        <v>0</v>
      </c>
      <c r="S115" s="57">
        <f t="shared" si="50"/>
        <v>0</v>
      </c>
      <c r="T115" s="57">
        <f t="shared" si="50"/>
        <v>0</v>
      </c>
      <c r="U115" s="57">
        <f t="shared" si="50"/>
        <v>0</v>
      </c>
      <c r="V115" s="57">
        <f t="shared" si="50"/>
        <v>0</v>
      </c>
      <c r="W115" s="57">
        <f t="shared" si="50"/>
        <v>0</v>
      </c>
    </row>
    <row r="116" spans="1:23" hidden="1" outlineLevel="1">
      <c r="E116" s="57" t="str">
        <f xml:space="preserve"> E$69</f>
        <v>Pre-forecast period flag - total</v>
      </c>
      <c r="F116" s="57">
        <f xml:space="preserve"> F$69</f>
        <v>6</v>
      </c>
      <c r="G116" s="57" t="str">
        <f xml:space="preserve"> G$69</f>
        <v>periods</v>
      </c>
      <c r="H116" s="57">
        <f t="shared" ref="H116:W116" si="51" xml:space="preserve"> H$69</f>
        <v>0</v>
      </c>
      <c r="I116" s="57">
        <f t="shared" si="51"/>
        <v>0</v>
      </c>
      <c r="J116" s="57">
        <f t="shared" si="51"/>
        <v>0</v>
      </c>
      <c r="K116" s="57">
        <f t="shared" si="51"/>
        <v>0</v>
      </c>
      <c r="L116" s="57">
        <f t="shared" si="51"/>
        <v>0</v>
      </c>
      <c r="M116" s="57">
        <f t="shared" si="51"/>
        <v>0</v>
      </c>
      <c r="N116" s="57">
        <f t="shared" si="51"/>
        <v>0</v>
      </c>
      <c r="O116" s="57">
        <f t="shared" si="51"/>
        <v>0</v>
      </c>
      <c r="P116" s="57">
        <f t="shared" si="51"/>
        <v>0</v>
      </c>
      <c r="Q116" s="57">
        <f t="shared" si="51"/>
        <v>0</v>
      </c>
      <c r="R116" s="57">
        <f t="shared" si="51"/>
        <v>0</v>
      </c>
      <c r="S116" s="57">
        <f t="shared" si="51"/>
        <v>0</v>
      </c>
      <c r="T116" s="57">
        <f t="shared" si="51"/>
        <v>0</v>
      </c>
      <c r="U116" s="57">
        <f t="shared" si="51"/>
        <v>0</v>
      </c>
      <c r="V116" s="57">
        <f t="shared" si="51"/>
        <v>0</v>
      </c>
      <c r="W116" s="57">
        <f t="shared" si="51"/>
        <v>0</v>
      </c>
    </row>
    <row r="117" spans="1:23" hidden="1" outlineLevel="1">
      <c r="E117" s="57" t="str">
        <f xml:space="preserve"> E$57</f>
        <v xml:space="preserve">Total number of forecast periods </v>
      </c>
      <c r="F117" s="57">
        <f xml:space="preserve"> F$57</f>
        <v>5</v>
      </c>
      <c r="G117" s="57" t="str">
        <f xml:space="preserve"> G$57</f>
        <v>periods</v>
      </c>
      <c r="H117" s="57">
        <f t="shared" ref="H117:W117" si="52" xml:space="preserve"> H$57</f>
        <v>0</v>
      </c>
      <c r="I117" s="57">
        <f t="shared" si="52"/>
        <v>0</v>
      </c>
      <c r="J117" s="57">
        <f t="shared" si="52"/>
        <v>0</v>
      </c>
      <c r="K117" s="57">
        <f t="shared" si="52"/>
        <v>0</v>
      </c>
      <c r="L117" s="57">
        <f t="shared" si="52"/>
        <v>0</v>
      </c>
      <c r="M117" s="57">
        <f t="shared" si="52"/>
        <v>0</v>
      </c>
      <c r="N117" s="57">
        <f t="shared" si="52"/>
        <v>0</v>
      </c>
      <c r="O117" s="57">
        <f t="shared" si="52"/>
        <v>0</v>
      </c>
      <c r="P117" s="57">
        <f t="shared" si="52"/>
        <v>0</v>
      </c>
      <c r="Q117" s="57">
        <f t="shared" si="52"/>
        <v>0</v>
      </c>
      <c r="R117" s="57">
        <f t="shared" si="52"/>
        <v>0</v>
      </c>
      <c r="S117" s="57">
        <f t="shared" si="52"/>
        <v>0</v>
      </c>
      <c r="T117" s="57">
        <f t="shared" si="52"/>
        <v>0</v>
      </c>
      <c r="U117" s="57">
        <f t="shared" si="52"/>
        <v>0</v>
      </c>
      <c r="V117" s="57">
        <f t="shared" si="52"/>
        <v>0</v>
      </c>
      <c r="W117" s="57">
        <f t="shared" si="52"/>
        <v>0</v>
      </c>
    </row>
    <row r="118" spans="1:23" hidden="1" outlineLevel="1">
      <c r="E118" s="57" t="str">
        <f xml:space="preserve"> E$81</f>
        <v>Post-forecast period - total</v>
      </c>
      <c r="F118" s="57">
        <f xml:space="preserve"> F$81</f>
        <v>3</v>
      </c>
      <c r="G118" s="57" t="str">
        <f xml:space="preserve"> G$81</f>
        <v>periods</v>
      </c>
      <c r="H118" s="57">
        <f t="shared" ref="H118:W118" si="53" xml:space="preserve"> H$81</f>
        <v>0</v>
      </c>
      <c r="I118" s="57">
        <f t="shared" si="53"/>
        <v>0</v>
      </c>
      <c r="J118" s="57">
        <f t="shared" si="53"/>
        <v>0</v>
      </c>
      <c r="K118" s="57">
        <f t="shared" si="53"/>
        <v>0</v>
      </c>
      <c r="L118" s="57">
        <f t="shared" si="53"/>
        <v>0</v>
      </c>
      <c r="M118" s="57">
        <f t="shared" si="53"/>
        <v>0</v>
      </c>
      <c r="N118" s="57">
        <f t="shared" si="53"/>
        <v>0</v>
      </c>
      <c r="O118" s="57">
        <f t="shared" si="53"/>
        <v>0</v>
      </c>
      <c r="P118" s="57">
        <f t="shared" si="53"/>
        <v>0</v>
      </c>
      <c r="Q118" s="57">
        <f t="shared" si="53"/>
        <v>0</v>
      </c>
      <c r="R118" s="57">
        <f t="shared" si="53"/>
        <v>0</v>
      </c>
      <c r="S118" s="57">
        <f t="shared" si="53"/>
        <v>0</v>
      </c>
      <c r="T118" s="57">
        <f t="shared" si="53"/>
        <v>0</v>
      </c>
      <c r="U118" s="57">
        <f t="shared" si="53"/>
        <v>0</v>
      </c>
      <c r="V118" s="57">
        <f t="shared" si="53"/>
        <v>0</v>
      </c>
      <c r="W118" s="57">
        <f t="shared" si="53"/>
        <v>0</v>
      </c>
    </row>
    <row r="119" spans="1:23" hidden="1" outlineLevel="1">
      <c r="E119" s="57" t="s">
        <v>265</v>
      </c>
      <c r="F119" s="187">
        <f xml:space="preserve"> IF(SUM(F114:F115) - SUM(F116:F118) &lt;&gt; 0, 1, 0)</f>
        <v>0</v>
      </c>
      <c r="G119" s="57" t="s">
        <v>268</v>
      </c>
      <c r="H119" s="57"/>
      <c r="I119" s="101"/>
      <c r="J119" s="57"/>
      <c r="K119" s="57"/>
      <c r="L119" s="57"/>
      <c r="M119" s="57"/>
      <c r="N119" s="57"/>
      <c r="O119" s="57"/>
      <c r="P119" s="57"/>
      <c r="Q119" s="57"/>
      <c r="R119" s="57"/>
      <c r="S119" s="57"/>
      <c r="T119" s="57"/>
      <c r="U119" s="57"/>
      <c r="V119" s="57"/>
      <c r="W119" s="57"/>
    </row>
    <row r="120" spans="1:23" hidden="1" outlineLevel="1">
      <c r="E120" s="57"/>
      <c r="F120" s="57"/>
      <c r="G120" s="57"/>
      <c r="H120" s="57"/>
      <c r="I120" s="101"/>
      <c r="J120" s="57"/>
      <c r="K120" s="57"/>
      <c r="L120" s="57"/>
      <c r="M120" s="57"/>
      <c r="N120" s="57"/>
      <c r="O120" s="57"/>
      <c r="P120" s="57"/>
      <c r="Q120" s="57"/>
      <c r="R120" s="57"/>
      <c r="S120" s="57"/>
      <c r="T120" s="57"/>
      <c r="U120" s="57"/>
      <c r="V120" s="57"/>
      <c r="W120" s="57"/>
    </row>
    <row r="121" spans="1:23" ht="12.75" customHeight="1">
      <c r="A121" s="115" t="s">
        <v>269</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collapsed="1">
      <c r="E122" s="57"/>
      <c r="F122" s="57"/>
      <c r="G122" s="57"/>
      <c r="H122" s="57"/>
      <c r="I122" s="101"/>
      <c r="J122" s="57"/>
      <c r="K122" s="57"/>
      <c r="L122" s="57"/>
      <c r="M122" s="57"/>
      <c r="N122" s="57"/>
      <c r="O122" s="57"/>
      <c r="P122" s="57"/>
      <c r="Q122" s="57"/>
      <c r="R122" s="57"/>
      <c r="S122" s="57"/>
      <c r="T122" s="57"/>
      <c r="U122" s="57"/>
      <c r="V122" s="57"/>
      <c r="W122" s="57"/>
    </row>
    <row r="123" spans="1:23" hidden="1" outlineLevel="1">
      <c r="E123" s="113" t="str">
        <f xml:space="preserve"> Inputs!E$15</f>
        <v>First modelling column financial year#</v>
      </c>
      <c r="F123" s="40">
        <f xml:space="preserve"> Inputs!F$15</f>
        <v>2015</v>
      </c>
      <c r="G123" s="113" t="str">
        <f xml:space="preserve"> Inputs!G$15</f>
        <v>year #</v>
      </c>
      <c r="H123" s="113" t="str">
        <f xml:space="preserve"> Inputs!H$15</f>
        <v>Financial model start year</v>
      </c>
      <c r="I123" s="113">
        <f xml:space="preserve"> Inputs!I$15</f>
        <v>0</v>
      </c>
      <c r="J123" s="113">
        <f xml:space="preserve"> Inputs!J$15</f>
        <v>0</v>
      </c>
      <c r="K123" s="113">
        <f xml:space="preserve"> Inputs!K$15</f>
        <v>0</v>
      </c>
      <c r="L123" s="113">
        <f xml:space="preserve"> Inputs!L$15</f>
        <v>0</v>
      </c>
      <c r="M123" s="113">
        <f xml:space="preserve"> Inputs!M$15</f>
        <v>0</v>
      </c>
      <c r="N123" s="113">
        <f xml:space="preserve"> Inputs!N$15</f>
        <v>0</v>
      </c>
      <c r="O123" s="113">
        <f xml:space="preserve"> Inputs!O$15</f>
        <v>0</v>
      </c>
      <c r="P123" s="113">
        <f xml:space="preserve"> Inputs!P$15</f>
        <v>0</v>
      </c>
      <c r="Q123" s="113">
        <f xml:space="preserve"> Inputs!Q$15</f>
        <v>0</v>
      </c>
      <c r="R123" s="113">
        <f xml:space="preserve"> Inputs!R$15</f>
        <v>0</v>
      </c>
      <c r="S123" s="113">
        <f xml:space="preserve"> Inputs!S$15</f>
        <v>0</v>
      </c>
      <c r="T123" s="113">
        <f xml:space="preserve"> Inputs!T$15</f>
        <v>0</v>
      </c>
      <c r="U123" s="113">
        <f xml:space="preserve"> Inputs!U$15</f>
        <v>0</v>
      </c>
      <c r="V123" s="113">
        <f xml:space="preserve"> Inputs!V$15</f>
        <v>0</v>
      </c>
      <c r="W123" s="113">
        <f xml:space="preserve"> Inputs!W$15</f>
        <v>0</v>
      </c>
    </row>
    <row r="124" spans="1:23" hidden="1" outlineLevel="1">
      <c r="E124" s="113" t="str">
        <f xml:space="preserve"> Inputs!E$16</f>
        <v>Financial year end month number</v>
      </c>
      <c r="F124" s="113">
        <f xml:space="preserve"> Inputs!F$16</f>
        <v>3</v>
      </c>
      <c r="G124" s="113" t="str">
        <f xml:space="preserve"> Inputs!G$16</f>
        <v>month #</v>
      </c>
      <c r="H124" s="113" t="str">
        <f xml:space="preserve"> Inputs!H$16</f>
        <v>Month of financial year end for financial model</v>
      </c>
      <c r="I124" s="113">
        <f xml:space="preserve"> Inputs!I$16</f>
        <v>0</v>
      </c>
      <c r="J124" s="113">
        <f xml:space="preserve"> Inputs!J$16</f>
        <v>0</v>
      </c>
      <c r="K124" s="113">
        <f xml:space="preserve"> Inputs!K$16</f>
        <v>0</v>
      </c>
      <c r="L124" s="113">
        <f xml:space="preserve"> Inputs!L$16</f>
        <v>0</v>
      </c>
      <c r="M124" s="113">
        <f xml:space="preserve"> Inputs!M$16</f>
        <v>0</v>
      </c>
      <c r="N124" s="113">
        <f xml:space="preserve"> Inputs!N$16</f>
        <v>0</v>
      </c>
      <c r="O124" s="113">
        <f xml:space="preserve"> Inputs!O$16</f>
        <v>0</v>
      </c>
      <c r="P124" s="113">
        <f xml:space="preserve"> Inputs!P$16</f>
        <v>0</v>
      </c>
      <c r="Q124" s="113">
        <f xml:space="preserve"> Inputs!Q$16</f>
        <v>0</v>
      </c>
      <c r="R124" s="113">
        <f xml:space="preserve"> Inputs!R$16</f>
        <v>0</v>
      </c>
      <c r="S124" s="113">
        <f xml:space="preserve"> Inputs!S$16</f>
        <v>0</v>
      </c>
      <c r="T124" s="113">
        <f xml:space="preserve"> Inputs!T$16</f>
        <v>0</v>
      </c>
      <c r="U124" s="113">
        <f xml:space="preserve"> Inputs!U$16</f>
        <v>0</v>
      </c>
      <c r="V124" s="113">
        <f xml:space="preserve"> Inputs!V$16</f>
        <v>0</v>
      </c>
      <c r="W124" s="113">
        <f xml:space="preserve"> Inputs!W$16</f>
        <v>0</v>
      </c>
    </row>
    <row r="125" spans="1:23" hidden="1" outlineLevel="1">
      <c r="E125" s="13" t="str">
        <f t="shared" ref="E125:S125" si="54" xml:space="preserve"> E$25</f>
        <v>Model period ending</v>
      </c>
      <c r="F125" s="13">
        <f t="shared" si="54"/>
        <v>0</v>
      </c>
      <c r="G125" s="13" t="str">
        <f t="shared" si="54"/>
        <v>date</v>
      </c>
      <c r="H125" s="13">
        <f t="shared" si="54"/>
        <v>0</v>
      </c>
      <c r="I125" s="13">
        <f t="shared" si="54"/>
        <v>0</v>
      </c>
      <c r="J125" s="13">
        <f t="shared" si="54"/>
        <v>42094</v>
      </c>
      <c r="K125" s="13">
        <f t="shared" si="54"/>
        <v>42460</v>
      </c>
      <c r="L125" s="13">
        <f t="shared" si="54"/>
        <v>42825</v>
      </c>
      <c r="M125" s="13">
        <f t="shared" si="54"/>
        <v>43190</v>
      </c>
      <c r="N125" s="13">
        <f t="shared" si="54"/>
        <v>43555</v>
      </c>
      <c r="O125" s="13">
        <f t="shared" si="54"/>
        <v>43921</v>
      </c>
      <c r="P125" s="13">
        <f t="shared" si="54"/>
        <v>44286</v>
      </c>
      <c r="Q125" s="13">
        <f t="shared" si="54"/>
        <v>44651</v>
      </c>
      <c r="R125" s="13">
        <f t="shared" si="54"/>
        <v>45016</v>
      </c>
      <c r="S125" s="13">
        <f t="shared" si="54"/>
        <v>45382</v>
      </c>
      <c r="T125" s="13">
        <f xml:space="preserve"> T$25</f>
        <v>45747</v>
      </c>
      <c r="U125" s="13">
        <f xml:space="preserve"> U$25</f>
        <v>46112</v>
      </c>
      <c r="V125" s="13">
        <f xml:space="preserve"> V$25</f>
        <v>46477</v>
      </c>
      <c r="W125" s="13">
        <f xml:space="preserve"> W$25</f>
        <v>46843</v>
      </c>
    </row>
    <row r="126" spans="1:23" hidden="1" outlineLevel="1">
      <c r="E126" s="57" t="str">
        <f t="shared" ref="E126:S126" si="55" xml:space="preserve"> E$14</f>
        <v>1st model column flag</v>
      </c>
      <c r="F126" s="57">
        <f t="shared" si="55"/>
        <v>0</v>
      </c>
      <c r="G126" s="57" t="str">
        <f t="shared" si="55"/>
        <v>flag</v>
      </c>
      <c r="H126" s="57">
        <f t="shared" si="55"/>
        <v>1</v>
      </c>
      <c r="I126" s="57">
        <f t="shared" si="55"/>
        <v>0</v>
      </c>
      <c r="J126" s="57">
        <f t="shared" si="55"/>
        <v>1</v>
      </c>
      <c r="K126" s="57">
        <f t="shared" si="55"/>
        <v>0</v>
      </c>
      <c r="L126" s="57">
        <f t="shared" si="55"/>
        <v>0</v>
      </c>
      <c r="M126" s="57">
        <f t="shared" si="55"/>
        <v>0</v>
      </c>
      <c r="N126" s="57">
        <f t="shared" si="55"/>
        <v>0</v>
      </c>
      <c r="O126" s="57">
        <f t="shared" si="55"/>
        <v>0</v>
      </c>
      <c r="P126" s="57">
        <f t="shared" si="55"/>
        <v>0</v>
      </c>
      <c r="Q126" s="57">
        <f t="shared" si="55"/>
        <v>0</v>
      </c>
      <c r="R126" s="57">
        <f t="shared" si="55"/>
        <v>0</v>
      </c>
      <c r="S126" s="57">
        <f t="shared" si="55"/>
        <v>0</v>
      </c>
      <c r="T126" s="57">
        <f xml:space="preserve"> T$14</f>
        <v>0</v>
      </c>
      <c r="U126" s="57">
        <f xml:space="preserve"> U$14</f>
        <v>0</v>
      </c>
      <c r="V126" s="57">
        <f xml:space="preserve"> V$14</f>
        <v>0</v>
      </c>
      <c r="W126" s="57">
        <f xml:space="preserve"> W$14</f>
        <v>0</v>
      </c>
    </row>
    <row r="127" spans="1:23" hidden="1" outlineLevel="1">
      <c r="E127" s="97" t="s">
        <v>270</v>
      </c>
      <c r="F127" s="46"/>
      <c r="G127" s="97" t="s">
        <v>147</v>
      </c>
      <c r="H127" s="97"/>
      <c r="I127" s="55"/>
      <c r="J127" s="41">
        <f t="shared" ref="J127:R127" si="56" xml:space="preserve"> IF(J126 = 1, $F123, IF(J125 &gt; (DATE(I127, $F124 + 1, 1) - 1), I127 + 1, I127))</f>
        <v>2015</v>
      </c>
      <c r="K127" s="41">
        <f t="shared" si="56"/>
        <v>2016</v>
      </c>
      <c r="L127" s="41">
        <f t="shared" si="56"/>
        <v>2017</v>
      </c>
      <c r="M127" s="41">
        <f t="shared" si="56"/>
        <v>2018</v>
      </c>
      <c r="N127" s="41">
        <f t="shared" si="56"/>
        <v>2019</v>
      </c>
      <c r="O127" s="41">
        <f t="shared" si="56"/>
        <v>2020</v>
      </c>
      <c r="P127" s="41">
        <f t="shared" si="56"/>
        <v>2021</v>
      </c>
      <c r="Q127" s="41">
        <f t="shared" si="56"/>
        <v>2022</v>
      </c>
      <c r="R127" s="41">
        <f t="shared" si="56"/>
        <v>2023</v>
      </c>
      <c r="S127" s="41">
        <f xml:space="preserve"> IF(S126 = 1, $F123, IF(S125 &gt; (DATE(R127, $F124 + 1, 1) - 1), R127 + 1, R127))</f>
        <v>2024</v>
      </c>
      <c r="T127" s="41">
        <f xml:space="preserve"> IF(T126 = 1, $F123, IF(T125 &gt; (DATE(S127, $F124 + 1, 1) - 1), S127 + 1, S127))</f>
        <v>2025</v>
      </c>
      <c r="U127" s="41">
        <f xml:space="preserve"> IF(U126 = 1, $F123, IF(U125 &gt; (DATE(T127, $F124 + 1, 1) - 1), T127 + 1, T127))</f>
        <v>2026</v>
      </c>
      <c r="V127" s="41">
        <f xml:space="preserve"> IF(V126 = 1, $F123, IF(V125 &gt; (DATE(U127, $F124 + 1, 1) - 1), U127 + 1, U127))</f>
        <v>2027</v>
      </c>
      <c r="W127" s="41">
        <f xml:space="preserve"> IF(W126 = 1, $F123, IF(W125 &gt; (DATE(V127, $F124 + 1, 1) - 1), V127 + 1, V127))</f>
        <v>2028</v>
      </c>
    </row>
    <row r="128" spans="1:23" hidden="1" outlineLevel="1">
      <c r="E128" s="97"/>
      <c r="F128" s="46"/>
      <c r="G128" s="97"/>
      <c r="H128" s="97"/>
      <c r="I128" s="55"/>
      <c r="J128" s="41"/>
      <c r="K128" s="41"/>
      <c r="L128" s="41"/>
      <c r="M128" s="41"/>
      <c r="N128" s="41"/>
      <c r="O128" s="41"/>
      <c r="P128" s="41"/>
      <c r="Q128" s="41"/>
      <c r="R128" s="41"/>
      <c r="S128" s="41"/>
      <c r="T128" s="41"/>
      <c r="U128" s="41"/>
      <c r="V128" s="41"/>
      <c r="W128" s="41"/>
    </row>
    <row r="129" spans="1:6" s="118" customFormat="1">
      <c r="A129" s="118" t="s">
        <v>232</v>
      </c>
      <c r="C129" s="119"/>
      <c r="D129" s="120"/>
      <c r="E129" s="119"/>
      <c r="F129" s="121"/>
    </row>
    <row r="131" spans="1:6"/>
    <row r="132" spans="1:6"/>
    <row r="133" spans="1:6"/>
    <row r="134" spans="1:6"/>
  </sheetData>
  <conditionalFormatting sqref="F119">
    <cfRule type="cellIs" dxfId="85" priority="39" stopIfTrue="1" operator="notEqual">
      <formula>0</formula>
    </cfRule>
    <cfRule type="cellIs" dxfId="84" priority="40" stopIfTrue="1" operator="equal">
      <formula>""</formula>
    </cfRule>
  </conditionalFormatting>
  <conditionalFormatting sqref="F2">
    <cfRule type="cellIs" dxfId="83" priority="3" stopIfTrue="1" operator="notEqual">
      <formula>0</formula>
    </cfRule>
    <cfRule type="cellIs" dxfId="82" priority="4" stopIfTrue="1" operator="equal">
      <formula>""</formula>
    </cfRule>
  </conditionalFormatting>
  <conditionalFormatting sqref="F3">
    <cfRule type="cellIs" dxfId="81" priority="1" stopIfTrue="1" operator="notEqual">
      <formula>0</formula>
    </cfRule>
    <cfRule type="cellIs" dxfId="80" priority="2" stopIfTrue="1" operator="equal">
      <formula>""</formula>
    </cfRule>
  </conditionalFormatting>
  <pageMargins left="0.7" right="0.7" top="0.75" bottom="0.75" header="0.3" footer="0.3"/>
  <pageSetup paperSize="9" scale="55"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BB135CB2-F0BA-4A1C-A137-C4CB8D622BBE}">
            <xm:f xml:space="preserve"> Inputs!$F$20</xm:f>
            <x14:dxf>
              <fill>
                <patternFill>
                  <bgColor indexed="44"/>
                </patternFill>
              </fill>
            </x14:dxf>
          </x14:cfRule>
          <x14:cfRule type="cellIs" priority="7" stopIfTrue="1" operator="equal" id="{2A471B8A-6CFC-471C-AA67-5F6C394F934D}">
            <xm:f>Inputs!$F$19</xm:f>
            <x14:dxf>
              <fill>
                <patternFill>
                  <bgColor indexed="47"/>
                </patternFill>
              </fill>
            </x14:dxf>
          </x14:cfRule>
          <xm:sqref>J3:W3</xm:sqref>
        </x14:conditionalFormatting>
        <x14:conditionalFormatting xmlns:xm="http://schemas.microsoft.com/office/excel/2006/main">
          <x14:cfRule type="cellIs" priority="5" operator="equal" id="{46E7C932-C683-4596-A894-F67FDB6B20AB}">
            <xm:f>Inputs!$F$21</xm:f>
            <x14:dxf>
              <fill>
                <patternFill>
                  <bgColor rgb="FFD9D9D9"/>
                </patternFill>
              </fill>
            </x14:dxf>
          </x14:cfRule>
          <xm:sqref>K3:W3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6">
    <outlinePr summaryBelow="0" summaryRight="0"/>
    <pageSetUpPr fitToPage="1"/>
  </sheetPr>
  <dimension ref="A1:X83"/>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outlineLevelRow="1"/>
  <cols>
    <col min="1" max="2" width="1.44140625" style="63" customWidth="1"/>
    <col min="3" max="3" width="1.44140625" style="110" customWidth="1"/>
    <col min="4" max="4" width="1.44140625" style="57" customWidth="1"/>
    <col min="5" max="5" width="42.109375" bestFit="1" customWidth="1"/>
    <col min="6" max="6" width="12.5546875" customWidth="1"/>
    <col min="7" max="7" width="11.5546875" customWidth="1"/>
    <col min="8" max="8" width="15.5546875" customWidth="1"/>
    <col min="9" max="9" width="2.5546875" style="6" customWidth="1"/>
    <col min="10" max="23" width="12.5546875" customWidth="1"/>
    <col min="24" max="16384" width="9.109375" hidden="1"/>
  </cols>
  <sheetData>
    <row r="1" spans="1:24" ht="28.2">
      <c r="A1" s="213" t="str">
        <f ca="1" xml:space="preserve"> RIGHT(CELL("filename", $A$1), LEN(CELL("filename", $A$1)) - SEARCH("]", CELL("filename", $A$1)))</f>
        <v>Indices and K factor</v>
      </c>
      <c r="B1" s="213"/>
      <c r="C1" s="213"/>
      <c r="D1" s="213"/>
      <c r="E1" s="213"/>
      <c r="F1" s="213"/>
      <c r="G1" s="213"/>
      <c r="H1" s="213"/>
      <c r="I1" s="213"/>
      <c r="J1" s="213"/>
      <c r="K1" s="213"/>
      <c r="L1" s="213"/>
      <c r="M1" s="213"/>
      <c r="N1" s="213"/>
      <c r="O1" s="213"/>
      <c r="P1" s="213"/>
      <c r="Q1" s="213"/>
      <c r="R1" s="213"/>
      <c r="S1" s="213"/>
      <c r="T1" s="213"/>
      <c r="U1" s="213"/>
      <c r="V1" s="213"/>
      <c r="W1" s="213"/>
    </row>
    <row r="2" spans="1:24" ht="12.75" customHeight="1">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4" ht="12.75" customHeight="1">
      <c r="A3" s="90"/>
      <c r="B3" s="90"/>
      <c r="C3" s="91"/>
      <c r="D3" s="58"/>
      <c r="E3" s="82" t="str">
        <f xml:space="preserve"> Time!E$105</f>
        <v>Timeline label</v>
      </c>
      <c r="F3" s="158">
        <f xml:space="preserve"> Check!F$24</f>
        <v>3</v>
      </c>
      <c r="G3" s="82" t="str">
        <f xml:space="preserve"> Check!G$24</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4"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4" ht="12.75" customHeight="1">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4"/>
    <row r="7" spans="1:24" ht="12.75" customHeight="1">
      <c r="A7" s="115" t="s">
        <v>271</v>
      </c>
      <c r="B7" s="115"/>
      <c r="C7" s="114"/>
      <c r="D7" s="115"/>
      <c r="E7" s="115"/>
      <c r="F7" s="115"/>
      <c r="G7" s="115"/>
      <c r="H7" s="115"/>
      <c r="I7" s="115"/>
      <c r="J7" s="115"/>
      <c r="K7" s="115"/>
      <c r="L7" s="115"/>
      <c r="M7" s="115"/>
      <c r="N7" s="115"/>
      <c r="O7" s="115"/>
      <c r="P7" s="115"/>
      <c r="Q7" s="115"/>
      <c r="R7" s="115"/>
      <c r="S7" s="115"/>
      <c r="T7" s="115"/>
      <c r="U7" s="115"/>
      <c r="V7" s="115"/>
      <c r="W7" s="115"/>
      <c r="X7" s="6"/>
    </row>
    <row r="8" spans="1:24" collapsed="1">
      <c r="J8" s="33"/>
      <c r="K8" s="33"/>
      <c r="L8" s="33"/>
      <c r="M8" s="33"/>
      <c r="N8" s="33"/>
      <c r="O8" s="33"/>
      <c r="P8" s="33"/>
      <c r="Q8" s="33"/>
      <c r="R8" s="33"/>
      <c r="S8" s="33"/>
      <c r="T8" s="33"/>
      <c r="U8" s="33"/>
      <c r="V8" s="33"/>
    </row>
    <row r="9" spans="1:24" s="6" customFormat="1" hidden="1" outlineLevel="1">
      <c r="A9" s="64"/>
      <c r="B9" s="64" t="s">
        <v>272</v>
      </c>
      <c r="C9" s="62"/>
      <c r="D9" s="101"/>
    </row>
    <row r="10" spans="1:24" s="208" customFormat="1" hidden="1" outlineLevel="1">
      <c r="A10" s="60"/>
      <c r="B10" s="60"/>
      <c r="C10" s="107"/>
      <c r="D10" s="4"/>
      <c r="E10" s="192" t="str">
        <f xml:space="preserve"> Inputs!E$41</f>
        <v>CPIH Index Nov (prior year)</v>
      </c>
      <c r="F10" s="192">
        <f xml:space="preserve"> Inputs!F$41</f>
        <v>0</v>
      </c>
      <c r="G10" s="192" t="str">
        <f xml:space="preserve"> Inputs!G$41</f>
        <v>index</v>
      </c>
      <c r="H10" s="192">
        <f xml:space="preserve"> Inputs!H$41</f>
        <v>0</v>
      </c>
      <c r="I10" s="192">
        <f xml:space="preserve"> Inputs!I$41</f>
        <v>0</v>
      </c>
      <c r="J10" s="192">
        <f xml:space="preserve"> Inputs!J$41</f>
        <v>0</v>
      </c>
      <c r="K10" s="192">
        <f xml:space="preserve"> Inputs!K$41</f>
        <v>99.9</v>
      </c>
      <c r="L10" s="192">
        <f xml:space="preserve"> Inputs!L$41</f>
        <v>100.3</v>
      </c>
      <c r="M10" s="192">
        <f xml:space="preserve"> Inputs!M$41</f>
        <v>101.8</v>
      </c>
      <c r="N10" s="192">
        <f xml:space="preserve"> Inputs!N$41</f>
        <v>104.7</v>
      </c>
      <c r="O10" s="192">
        <f xml:space="preserve"> Inputs!O$41</f>
        <v>106.9</v>
      </c>
      <c r="P10" s="192">
        <f xml:space="preserve"> Inputs!P$41</f>
        <v>108.5</v>
      </c>
      <c r="Q10" s="192">
        <f xml:space="preserve"> Inputs!Q$41</f>
        <v>109.1</v>
      </c>
      <c r="R10" s="192">
        <f xml:space="preserve"> Inputs!R$41</f>
        <v>114.1</v>
      </c>
      <c r="S10" s="192">
        <f xml:space="preserve"> Inputs!S$41</f>
        <v>124.8</v>
      </c>
      <c r="T10" s="192">
        <f xml:space="preserve"> Inputs!T$41</f>
        <v>130.04900000000001</v>
      </c>
      <c r="U10" s="192">
        <f xml:space="preserve"> Inputs!U$41</f>
        <v>134.11666666666665</v>
      </c>
      <c r="V10" s="192">
        <f xml:space="preserve"> Inputs!V$41</f>
        <v>136.79899999999998</v>
      </c>
      <c r="W10" s="192">
        <f xml:space="preserve"> Inputs!W$41</f>
        <v>139.53497999999999</v>
      </c>
    </row>
    <row r="11" spans="1:24" s="6" customFormat="1" hidden="1" outlineLevel="1">
      <c r="A11" s="64"/>
      <c r="B11" s="64"/>
      <c r="C11" s="62"/>
      <c r="D11" s="101"/>
      <c r="E11" s="97" t="s">
        <v>273</v>
      </c>
      <c r="F11" s="97"/>
      <c r="G11" s="97" t="s">
        <v>173</v>
      </c>
      <c r="H11" s="97"/>
      <c r="I11" s="55"/>
      <c r="J11" s="42">
        <f t="shared" ref="J11:W11" si="0" xml:space="preserve"> IF(I10 = 0, 0, J10 / I10)</f>
        <v>0</v>
      </c>
      <c r="K11" s="42">
        <f xml:space="preserve"> IF(J10 = 0, 0, K10 / J10)</f>
        <v>0</v>
      </c>
      <c r="L11" s="42">
        <f xml:space="preserve"> IF(K10 = 0, 0, L10 / K10)</f>
        <v>1.0040040040040039</v>
      </c>
      <c r="M11" s="42">
        <f t="shared" si="0"/>
        <v>1.0149551345962113</v>
      </c>
      <c r="N11" s="42">
        <f t="shared" si="0"/>
        <v>1.0284872298624754</v>
      </c>
      <c r="O11" s="42">
        <f xml:space="preserve"> IF(N10 = 0, 0, O10 / N10)</f>
        <v>1.0210124164278893</v>
      </c>
      <c r="P11" s="42">
        <f xml:space="preserve"> IF(O10 = 0, 0, P10 / O10)</f>
        <v>1.0149672591206735</v>
      </c>
      <c r="Q11" s="42">
        <f t="shared" si="0"/>
        <v>1.0055299539170506</v>
      </c>
      <c r="R11" s="42">
        <f t="shared" si="0"/>
        <v>1.0458295142071494</v>
      </c>
      <c r="S11" s="42">
        <f t="shared" si="0"/>
        <v>1.0937773882559159</v>
      </c>
      <c r="T11" s="42">
        <f t="shared" si="0"/>
        <v>1.042059294871795</v>
      </c>
      <c r="U11" s="42">
        <f t="shared" si="0"/>
        <v>1.0312779542070039</v>
      </c>
      <c r="V11" s="42">
        <f t="shared" si="0"/>
        <v>1.02</v>
      </c>
      <c r="W11" s="42">
        <f t="shared" si="0"/>
        <v>1.02</v>
      </c>
    </row>
    <row r="12" spans="1:24" s="6" customFormat="1" hidden="1" outlineLevel="1">
      <c r="A12" s="64"/>
      <c r="B12" s="64"/>
      <c r="C12" s="62"/>
      <c r="D12" s="101"/>
      <c r="E12" s="97"/>
      <c r="F12" s="97"/>
      <c r="G12" s="97"/>
      <c r="H12" s="97"/>
      <c r="I12" s="55"/>
      <c r="J12" s="42"/>
      <c r="K12" s="42"/>
      <c r="L12" s="42"/>
      <c r="M12" s="42"/>
      <c r="N12" s="42"/>
      <c r="O12" s="42"/>
      <c r="P12" s="42"/>
      <c r="Q12" s="42"/>
      <c r="R12" s="42"/>
      <c r="S12" s="42"/>
      <c r="T12" s="42"/>
      <c r="U12" s="42"/>
      <c r="V12" s="42"/>
      <c r="W12" s="42"/>
    </row>
    <row r="13" spans="1:24" s="6" customFormat="1" hidden="1" outlineLevel="1">
      <c r="A13" s="64"/>
      <c r="B13" s="64" t="s">
        <v>274</v>
      </c>
      <c r="C13" s="62"/>
      <c r="D13" s="101"/>
      <c r="E13" s="55"/>
      <c r="G13" s="55"/>
      <c r="H13" s="55"/>
      <c r="I13" s="55"/>
      <c r="J13" s="42"/>
      <c r="K13" s="42"/>
      <c r="L13" s="42"/>
      <c r="M13" s="42"/>
      <c r="N13" s="42"/>
      <c r="O13" s="42"/>
      <c r="P13" s="42"/>
      <c r="Q13" s="42"/>
      <c r="R13" s="42"/>
      <c r="S13" s="42"/>
      <c r="T13" s="42"/>
      <c r="U13" s="42"/>
      <c r="V13" s="42"/>
      <c r="W13" s="42"/>
    </row>
    <row r="14" spans="1:24" s="208" customFormat="1" hidden="1" outlineLevel="1">
      <c r="A14" s="60"/>
      <c r="B14" s="60"/>
      <c r="C14" s="107"/>
      <c r="D14" s="4"/>
      <c r="E14" s="192" t="str">
        <f xml:space="preserve"> Inputs!E$41</f>
        <v>CPIH Index Nov (prior year)</v>
      </c>
      <c r="F14" s="192">
        <f xml:space="preserve"> Inputs!F$41</f>
        <v>0</v>
      </c>
      <c r="G14" s="192" t="str">
        <f xml:space="preserve"> Inputs!G$41</f>
        <v>index</v>
      </c>
      <c r="H14" s="192">
        <f xml:space="preserve"> Inputs!H$41</f>
        <v>0</v>
      </c>
      <c r="I14" s="192">
        <f xml:space="preserve"> Inputs!I$41</f>
        <v>0</v>
      </c>
      <c r="J14" s="192">
        <f xml:space="preserve"> Inputs!J$41</f>
        <v>0</v>
      </c>
      <c r="K14" s="192">
        <f xml:space="preserve"> Inputs!K$41</f>
        <v>99.9</v>
      </c>
      <c r="L14" s="192">
        <f xml:space="preserve"> Inputs!L$41</f>
        <v>100.3</v>
      </c>
      <c r="M14" s="192">
        <f xml:space="preserve"> Inputs!M$41</f>
        <v>101.8</v>
      </c>
      <c r="N14" s="192">
        <f xml:space="preserve"> Inputs!N$41</f>
        <v>104.7</v>
      </c>
      <c r="O14" s="192">
        <f xml:space="preserve"> Inputs!O$41</f>
        <v>106.9</v>
      </c>
      <c r="P14" s="192">
        <f xml:space="preserve"> Inputs!P$41</f>
        <v>108.5</v>
      </c>
      <c r="Q14" s="192">
        <f xml:space="preserve"> Inputs!Q$41</f>
        <v>109.1</v>
      </c>
      <c r="R14" s="192">
        <f xml:space="preserve"> Inputs!R$41</f>
        <v>114.1</v>
      </c>
      <c r="S14" s="192">
        <f xml:space="preserve"> Inputs!S$41</f>
        <v>124.8</v>
      </c>
      <c r="T14" s="192">
        <f xml:space="preserve"> Inputs!T$41</f>
        <v>130.04900000000001</v>
      </c>
      <c r="U14" s="192">
        <f xml:space="preserve"> Inputs!U$41</f>
        <v>134.11666666666665</v>
      </c>
      <c r="V14" s="192">
        <f xml:space="preserve"> Inputs!V$41</f>
        <v>136.79899999999998</v>
      </c>
      <c r="W14" s="192">
        <f xml:space="preserve"> Inputs!W$41</f>
        <v>139.53497999999999</v>
      </c>
    </row>
    <row r="15" spans="1:24" s="194" customFormat="1" hidden="1" outlineLevel="1">
      <c r="A15" s="199"/>
      <c r="B15" s="199"/>
      <c r="C15" s="200"/>
      <c r="E15" s="231" t="str">
        <f xml:space="preserve"> Time!E$72</f>
        <v>Last pre-forecast period flag</v>
      </c>
      <c r="F15" s="231">
        <f xml:space="preserve"> Time!F$72</f>
        <v>0</v>
      </c>
      <c r="G15" s="231" t="str">
        <f xml:space="preserve"> Time!G$72</f>
        <v>flag</v>
      </c>
      <c r="H15" s="231">
        <f xml:space="preserve"> Time!H$72</f>
        <v>1</v>
      </c>
      <c r="I15" s="231">
        <f xml:space="preserve"> Time!I$72</f>
        <v>0</v>
      </c>
      <c r="J15" s="231">
        <f xml:space="preserve"> Time!J$72</f>
        <v>0</v>
      </c>
      <c r="K15" s="231">
        <f xml:space="preserve"> Time!K$72</f>
        <v>0</v>
      </c>
      <c r="L15" s="231">
        <f xml:space="preserve"> Time!L$72</f>
        <v>0</v>
      </c>
      <c r="M15" s="231">
        <f xml:space="preserve"> Time!M$72</f>
        <v>0</v>
      </c>
      <c r="N15" s="231">
        <f xml:space="preserve"> Time!N$72</f>
        <v>0</v>
      </c>
      <c r="O15" s="231">
        <f xml:space="preserve"> Time!O$72</f>
        <v>1</v>
      </c>
      <c r="P15" s="231">
        <f xml:space="preserve"> Time!P$72</f>
        <v>0</v>
      </c>
      <c r="Q15" s="231">
        <f xml:space="preserve"> Time!Q$72</f>
        <v>0</v>
      </c>
      <c r="R15" s="231">
        <f xml:space="preserve"> Time!R$72</f>
        <v>0</v>
      </c>
      <c r="S15" s="231">
        <f xml:space="preserve"> Time!S$72</f>
        <v>0</v>
      </c>
      <c r="T15" s="231">
        <f xml:space="preserve"> Time!T$72</f>
        <v>0</v>
      </c>
      <c r="U15" s="231">
        <f xml:space="preserve"> Time!U$72</f>
        <v>0</v>
      </c>
      <c r="V15" s="231">
        <f xml:space="preserve"> Time!V$72</f>
        <v>0</v>
      </c>
      <c r="W15" s="231">
        <f xml:space="preserve"> Time!W$72</f>
        <v>0</v>
      </c>
    </row>
    <row r="16" spans="1:24" s="194" customFormat="1" hidden="1" outlineLevel="1">
      <c r="A16" s="199"/>
      <c r="B16" s="199"/>
      <c r="C16" s="200"/>
      <c r="E16" s="194" t="s">
        <v>275</v>
      </c>
      <c r="G16" s="194" t="s">
        <v>276</v>
      </c>
      <c r="H16" s="232">
        <f>SUM(J16:W16)</f>
        <v>106.9</v>
      </c>
      <c r="J16" s="232">
        <f xml:space="preserve"> J14 * J15</f>
        <v>0</v>
      </c>
      <c r="K16" s="232">
        <f t="shared" ref="K16:W16" si="1" xml:space="preserve"> K14 * K15</f>
        <v>0</v>
      </c>
      <c r="L16" s="232">
        <f t="shared" si="1"/>
        <v>0</v>
      </c>
      <c r="M16" s="232">
        <f t="shared" si="1"/>
        <v>0</v>
      </c>
      <c r="N16" s="232">
        <f t="shared" si="1"/>
        <v>0</v>
      </c>
      <c r="O16" s="232">
        <f xml:space="preserve"> O14 * O15</f>
        <v>106.9</v>
      </c>
      <c r="P16" s="232">
        <f t="shared" si="1"/>
        <v>0</v>
      </c>
      <c r="Q16" s="232">
        <f t="shared" si="1"/>
        <v>0</v>
      </c>
      <c r="R16" s="232">
        <f t="shared" si="1"/>
        <v>0</v>
      </c>
      <c r="S16" s="232">
        <f t="shared" si="1"/>
        <v>0</v>
      </c>
      <c r="T16" s="232">
        <f t="shared" si="1"/>
        <v>0</v>
      </c>
      <c r="U16" s="232">
        <f t="shared" si="1"/>
        <v>0</v>
      </c>
      <c r="V16" s="232">
        <f t="shared" si="1"/>
        <v>0</v>
      </c>
      <c r="W16" s="232">
        <f t="shared" si="1"/>
        <v>0</v>
      </c>
    </row>
    <row r="17" spans="1:23" s="194" customFormat="1" hidden="1" outlineLevel="1">
      <c r="A17" s="199"/>
      <c r="B17" s="199"/>
      <c r="C17" s="200"/>
      <c r="E17" s="194" t="s">
        <v>277</v>
      </c>
      <c r="F17" s="232">
        <f>SUM(J16:W16)</f>
        <v>106.9</v>
      </c>
    </row>
    <row r="18" spans="1:23" s="194" customFormat="1" hidden="1" outlineLevel="1">
      <c r="A18" s="199"/>
      <c r="B18" s="199"/>
      <c r="C18" s="200"/>
    </row>
    <row r="19" spans="1:23" s="194" customFormat="1" hidden="1" outlineLevel="1">
      <c r="A19" s="199"/>
      <c r="B19" s="199"/>
      <c r="C19" s="200"/>
      <c r="E19" s="101" t="str">
        <f t="shared" ref="E19:W19" si="2" xml:space="preserve"> E$17</f>
        <v>CPIH Forecast period base inflation</v>
      </c>
      <c r="F19" s="93">
        <f xml:space="preserve"> F$17</f>
        <v>106.9</v>
      </c>
      <c r="G19" s="101">
        <f t="shared" si="2"/>
        <v>0</v>
      </c>
      <c r="H19" s="101">
        <f t="shared" si="2"/>
        <v>0</v>
      </c>
      <c r="I19" s="101">
        <f t="shared" si="2"/>
        <v>0</v>
      </c>
      <c r="J19" s="101">
        <f t="shared" si="2"/>
        <v>0</v>
      </c>
      <c r="K19" s="101">
        <f t="shared" si="2"/>
        <v>0</v>
      </c>
      <c r="L19" s="101">
        <f t="shared" si="2"/>
        <v>0</v>
      </c>
      <c r="M19" s="101">
        <f t="shared" si="2"/>
        <v>0</v>
      </c>
      <c r="N19" s="101">
        <f t="shared" si="2"/>
        <v>0</v>
      </c>
      <c r="O19" s="101">
        <f t="shared" si="2"/>
        <v>0</v>
      </c>
      <c r="P19" s="101">
        <f t="shared" si="2"/>
        <v>0</v>
      </c>
      <c r="Q19" s="101">
        <f t="shared" si="2"/>
        <v>0</v>
      </c>
      <c r="R19" s="101">
        <f t="shared" si="2"/>
        <v>0</v>
      </c>
      <c r="S19" s="101">
        <f t="shared" si="2"/>
        <v>0</v>
      </c>
      <c r="T19" s="101">
        <f t="shared" si="2"/>
        <v>0</v>
      </c>
      <c r="U19" s="101">
        <f t="shared" si="2"/>
        <v>0</v>
      </c>
      <c r="V19" s="101">
        <f t="shared" si="2"/>
        <v>0</v>
      </c>
      <c r="W19" s="101">
        <f t="shared" si="2"/>
        <v>0</v>
      </c>
    </row>
    <row r="20" spans="1:23" s="208" customFormat="1" hidden="1" outlineLevel="1">
      <c r="A20" s="60"/>
      <c r="B20" s="60"/>
      <c r="C20" s="107"/>
      <c r="D20" s="4"/>
      <c r="E20" s="192" t="str">
        <f xml:space="preserve"> Inputs!E$41</f>
        <v>CPIH Index Nov (prior year)</v>
      </c>
      <c r="F20" s="192">
        <f xml:space="preserve"> Inputs!F$41</f>
        <v>0</v>
      </c>
      <c r="G20" s="192" t="str">
        <f xml:space="preserve"> Inputs!G$41</f>
        <v>index</v>
      </c>
      <c r="H20" s="192">
        <f xml:space="preserve"> Inputs!H$41</f>
        <v>0</v>
      </c>
      <c r="I20" s="192">
        <f xml:space="preserve"> Inputs!I$41</f>
        <v>0</v>
      </c>
      <c r="J20" s="192">
        <f xml:space="preserve"> Inputs!J$41</f>
        <v>0</v>
      </c>
      <c r="K20" s="192">
        <f xml:space="preserve"> Inputs!K$41</f>
        <v>99.9</v>
      </c>
      <c r="L20" s="192">
        <f xml:space="preserve"> Inputs!L$41</f>
        <v>100.3</v>
      </c>
      <c r="M20" s="192">
        <f xml:space="preserve"> Inputs!M$41</f>
        <v>101.8</v>
      </c>
      <c r="N20" s="192">
        <f xml:space="preserve"> Inputs!N$41</f>
        <v>104.7</v>
      </c>
      <c r="O20" s="192">
        <f xml:space="preserve"> Inputs!O$41</f>
        <v>106.9</v>
      </c>
      <c r="P20" s="192">
        <f xml:space="preserve"> Inputs!P$41</f>
        <v>108.5</v>
      </c>
      <c r="Q20" s="192">
        <f xml:space="preserve"> Inputs!Q$41</f>
        <v>109.1</v>
      </c>
      <c r="R20" s="192">
        <f xml:space="preserve"> Inputs!R$41</f>
        <v>114.1</v>
      </c>
      <c r="S20" s="192">
        <f xml:space="preserve"> Inputs!S$41</f>
        <v>124.8</v>
      </c>
      <c r="T20" s="192">
        <f xml:space="preserve"> Inputs!T$41</f>
        <v>130.04900000000001</v>
      </c>
      <c r="U20" s="192">
        <f xml:space="preserve"> Inputs!U$41</f>
        <v>134.11666666666665</v>
      </c>
      <c r="V20" s="192">
        <f xml:space="preserve"> Inputs!V$41</f>
        <v>136.79899999999998</v>
      </c>
      <c r="W20" s="192">
        <f xml:space="preserve"> Inputs!W$41</f>
        <v>139.53497999999999</v>
      </c>
    </row>
    <row r="21" spans="1:23" s="6" customFormat="1" ht="12.75" hidden="1" customHeight="1" outlineLevel="1">
      <c r="A21" s="64"/>
      <c r="B21" s="64"/>
      <c r="C21" s="62"/>
      <c r="D21" s="159"/>
      <c r="E21" s="98" t="str">
        <f xml:space="preserve"> Time!E$56</f>
        <v>Forecast period flag</v>
      </c>
      <c r="F21" s="98">
        <f xml:space="preserve"> Time!F$56</f>
        <v>0</v>
      </c>
      <c r="G21" s="98" t="str">
        <f xml:space="preserve"> Time!G$56</f>
        <v>flag</v>
      </c>
      <c r="H21" s="98">
        <f xml:space="preserve"> Time!H$56</f>
        <v>5</v>
      </c>
      <c r="I21" s="98">
        <f xml:space="preserve"> Time!I$56</f>
        <v>0</v>
      </c>
      <c r="J21" s="98">
        <f xml:space="preserve"> Time!J$56</f>
        <v>0</v>
      </c>
      <c r="K21" s="98">
        <f xml:space="preserve"> Time!K$56</f>
        <v>0</v>
      </c>
      <c r="L21" s="98">
        <f xml:space="preserve"> Time!L$56</f>
        <v>0</v>
      </c>
      <c r="M21" s="98">
        <f xml:space="preserve"> Time!M$56</f>
        <v>0</v>
      </c>
      <c r="N21" s="98">
        <f xml:space="preserve"> Time!N$56</f>
        <v>0</v>
      </c>
      <c r="O21" s="98">
        <f xml:space="preserve"> Time!O$56</f>
        <v>0</v>
      </c>
      <c r="P21" s="98">
        <f xml:space="preserve"> Time!P$56</f>
        <v>1</v>
      </c>
      <c r="Q21" s="98">
        <f xml:space="preserve"> Time!Q$56</f>
        <v>1</v>
      </c>
      <c r="R21" s="98">
        <f xml:space="preserve"> Time!R$56</f>
        <v>1</v>
      </c>
      <c r="S21" s="98">
        <f xml:space="preserve"> Time!S$56</f>
        <v>1</v>
      </c>
      <c r="T21" s="98">
        <f xml:space="preserve"> Time!T$56</f>
        <v>1</v>
      </c>
      <c r="U21" s="98">
        <f xml:space="preserve"> Time!U$56</f>
        <v>0</v>
      </c>
      <c r="V21" s="98">
        <f xml:space="preserve"> Time!V$56</f>
        <v>0</v>
      </c>
      <c r="W21" s="98">
        <f xml:space="preserve"> Time!W$56</f>
        <v>0</v>
      </c>
    </row>
    <row r="22" spans="1:23" s="194" customFormat="1" hidden="1" outlineLevel="1">
      <c r="A22" s="199"/>
      <c r="B22" s="199"/>
      <c r="C22" s="200"/>
      <c r="E22" s="194" t="s">
        <v>278</v>
      </c>
      <c r="G22" s="194" t="s">
        <v>171</v>
      </c>
      <c r="J22" s="42">
        <f xml:space="preserve"> IF($F19 = 0, 0, ( J20 / $F$19 ) * J21 )</f>
        <v>0</v>
      </c>
      <c r="K22" s="42">
        <f t="shared" ref="K22:W22" si="3" xml:space="preserve"> IF($F19 = 0, 0, ( K20 / $F$19 ) * K21 )</f>
        <v>0</v>
      </c>
      <c r="L22" s="42">
        <f t="shared" si="3"/>
        <v>0</v>
      </c>
      <c r="M22" s="42">
        <f t="shared" si="3"/>
        <v>0</v>
      </c>
      <c r="N22" s="42">
        <f t="shared" si="3"/>
        <v>0</v>
      </c>
      <c r="O22" s="42">
        <f t="shared" si="3"/>
        <v>0</v>
      </c>
      <c r="P22" s="42">
        <f t="shared" si="3"/>
        <v>1.0149672591206735</v>
      </c>
      <c r="Q22" s="42">
        <f t="shared" si="3"/>
        <v>1.020579981290926</v>
      </c>
      <c r="R22" s="42">
        <f t="shared" si="3"/>
        <v>1.0673526660430308</v>
      </c>
      <c r="S22" s="42">
        <f t="shared" si="3"/>
        <v>1.167446211412535</v>
      </c>
      <c r="T22" s="42">
        <f t="shared" si="3"/>
        <v>1.2165481758652947</v>
      </c>
      <c r="U22" s="42">
        <f t="shared" si="3"/>
        <v>0</v>
      </c>
      <c r="V22" s="42">
        <f t="shared" si="3"/>
        <v>0</v>
      </c>
      <c r="W22" s="42">
        <f t="shared" si="3"/>
        <v>0</v>
      </c>
    </row>
    <row r="23" spans="1:23" s="194" customFormat="1" hidden="1" outlineLevel="1">
      <c r="A23" s="199"/>
      <c r="B23" s="199"/>
      <c r="C23" s="200"/>
      <c r="J23" s="42"/>
      <c r="K23" s="42"/>
      <c r="L23" s="42"/>
      <c r="M23" s="42"/>
      <c r="N23" s="42"/>
      <c r="O23" s="42"/>
      <c r="P23" s="42"/>
      <c r="Q23" s="42"/>
      <c r="R23" s="42"/>
      <c r="S23" s="42"/>
      <c r="T23" s="42"/>
      <c r="U23" s="42"/>
      <c r="V23" s="42"/>
      <c r="W23" s="42"/>
    </row>
    <row r="24" spans="1:23" s="194" customFormat="1" hidden="1" outlineLevel="1">
      <c r="A24" s="199"/>
      <c r="B24" s="64" t="s">
        <v>279</v>
      </c>
      <c r="C24" s="200"/>
      <c r="J24" s="42"/>
      <c r="K24" s="42"/>
      <c r="L24" s="42"/>
      <c r="M24" s="42"/>
      <c r="N24" s="42"/>
      <c r="O24" s="42"/>
      <c r="P24" s="42"/>
      <c r="Q24" s="42"/>
      <c r="R24" s="42"/>
      <c r="S24" s="42"/>
      <c r="T24" s="42"/>
      <c r="U24" s="42"/>
      <c r="V24" s="42"/>
      <c r="W24" s="42"/>
    </row>
    <row r="25" spans="1:23" s="194" customFormat="1" hidden="1" outlineLevel="1">
      <c r="A25" s="199"/>
      <c r="B25" s="64"/>
      <c r="C25" s="200"/>
      <c r="E25" s="328" t="str">
        <f xml:space="preserve"> Inputs!E$43</f>
        <v>CPIH Index (base year 2017/18)</v>
      </c>
      <c r="F25" s="328">
        <f xml:space="preserve"> Inputs!F$43</f>
        <v>101.8</v>
      </c>
      <c r="G25" s="329" t="str">
        <f xml:space="preserve"> Inputs!G$43</f>
        <v>index</v>
      </c>
      <c r="H25" s="329">
        <f xml:space="preserve"> Inputs!H$43</f>
        <v>0</v>
      </c>
      <c r="I25" s="329">
        <f xml:space="preserve"> Inputs!I$43</f>
        <v>0</v>
      </c>
      <c r="J25" s="329">
        <f xml:space="preserve"> Inputs!J$43</f>
        <v>0</v>
      </c>
      <c r="K25" s="329">
        <f xml:space="preserve"> Inputs!K$43</f>
        <v>0</v>
      </c>
      <c r="L25" s="329">
        <f xml:space="preserve"> Inputs!L$43</f>
        <v>0</v>
      </c>
      <c r="M25" s="329">
        <f xml:space="preserve"> Inputs!M$43</f>
        <v>0</v>
      </c>
      <c r="N25" s="329">
        <f xml:space="preserve"> Inputs!N$43</f>
        <v>0</v>
      </c>
      <c r="O25" s="329">
        <f xml:space="preserve"> Inputs!O$43</f>
        <v>0</v>
      </c>
      <c r="P25" s="329">
        <f xml:space="preserve"> Inputs!P$43</f>
        <v>0</v>
      </c>
      <c r="Q25" s="329">
        <f xml:space="preserve"> Inputs!Q$43</f>
        <v>0</v>
      </c>
      <c r="R25" s="329">
        <f xml:space="preserve"> Inputs!R$43</f>
        <v>0</v>
      </c>
      <c r="S25" s="329">
        <f xml:space="preserve"> Inputs!S$43</f>
        <v>0</v>
      </c>
      <c r="T25" s="329">
        <f xml:space="preserve"> Inputs!T$43</f>
        <v>0</v>
      </c>
      <c r="U25" s="329">
        <f xml:space="preserve"> Inputs!U$43</f>
        <v>0</v>
      </c>
      <c r="V25" s="329">
        <f xml:space="preserve"> Inputs!V$43</f>
        <v>0</v>
      </c>
      <c r="W25" s="329">
        <f xml:space="preserve"> Inputs!W$43</f>
        <v>0</v>
      </c>
    </row>
    <row r="26" spans="1:23" s="208" customFormat="1" hidden="1" outlineLevel="1">
      <c r="A26" s="60"/>
      <c r="B26" s="60"/>
      <c r="C26" s="107"/>
      <c r="D26" s="4"/>
      <c r="E26" s="192" t="str">
        <f xml:space="preserve"> Inputs!E$41</f>
        <v>CPIH Index Nov (prior year)</v>
      </c>
      <c r="F26" s="192">
        <f xml:space="preserve"> Inputs!F$41</f>
        <v>0</v>
      </c>
      <c r="G26" s="192" t="str">
        <f xml:space="preserve"> Inputs!G$41</f>
        <v>index</v>
      </c>
      <c r="H26" s="192">
        <f xml:space="preserve"> Inputs!H$41</f>
        <v>0</v>
      </c>
      <c r="I26" s="192">
        <f xml:space="preserve"> Inputs!I$41</f>
        <v>0</v>
      </c>
      <c r="J26" s="192">
        <f xml:space="preserve"> Inputs!J$41</f>
        <v>0</v>
      </c>
      <c r="K26" s="192">
        <f xml:space="preserve"> Inputs!K$41</f>
        <v>99.9</v>
      </c>
      <c r="L26" s="192">
        <f xml:space="preserve"> Inputs!L$41</f>
        <v>100.3</v>
      </c>
      <c r="M26" s="192">
        <f xml:space="preserve"> Inputs!M$41</f>
        <v>101.8</v>
      </c>
      <c r="N26" s="192">
        <f xml:space="preserve"> Inputs!N$41</f>
        <v>104.7</v>
      </c>
      <c r="O26" s="192">
        <f xml:space="preserve"> Inputs!O$41</f>
        <v>106.9</v>
      </c>
      <c r="P26" s="192">
        <f xml:space="preserve"> Inputs!P$41</f>
        <v>108.5</v>
      </c>
      <c r="Q26" s="192">
        <f xml:space="preserve"> Inputs!Q$41</f>
        <v>109.1</v>
      </c>
      <c r="R26" s="192">
        <f xml:space="preserve"> Inputs!R$41</f>
        <v>114.1</v>
      </c>
      <c r="S26" s="192">
        <f xml:space="preserve"> Inputs!S$41</f>
        <v>124.8</v>
      </c>
      <c r="T26" s="192">
        <f xml:space="preserve"> Inputs!T$41</f>
        <v>130.04900000000001</v>
      </c>
      <c r="U26" s="192">
        <f xml:space="preserve"> Inputs!U$41</f>
        <v>134.11666666666665</v>
      </c>
      <c r="V26" s="192">
        <f xml:space="preserve"> Inputs!V$41</f>
        <v>136.79899999999998</v>
      </c>
      <c r="W26" s="192">
        <f xml:space="preserve"> Inputs!W$41</f>
        <v>139.53497999999999</v>
      </c>
    </row>
    <row r="27" spans="1:23" s="194" customFormat="1" hidden="1" outlineLevel="1">
      <c r="A27" s="199"/>
      <c r="B27" s="64"/>
      <c r="C27" s="200"/>
      <c r="E27" s="98" t="str">
        <f xml:space="preserve"> Time!E$56</f>
        <v>Forecast period flag</v>
      </c>
      <c r="F27" s="98">
        <f xml:space="preserve"> Time!F$56</f>
        <v>0</v>
      </c>
      <c r="G27" s="98" t="str">
        <f xml:space="preserve"> Time!G$56</f>
        <v>flag</v>
      </c>
      <c r="H27" s="98">
        <f xml:space="preserve"> Time!H$56</f>
        <v>5</v>
      </c>
      <c r="I27" s="98">
        <f xml:space="preserve"> Time!I$56</f>
        <v>0</v>
      </c>
      <c r="J27" s="98">
        <f xml:space="preserve"> Time!J$56</f>
        <v>0</v>
      </c>
      <c r="K27" s="98">
        <f xml:space="preserve"> Time!K$56</f>
        <v>0</v>
      </c>
      <c r="L27" s="98">
        <f xml:space="preserve"> Time!L$56</f>
        <v>0</v>
      </c>
      <c r="M27" s="98">
        <f xml:space="preserve"> Time!M$56</f>
        <v>0</v>
      </c>
      <c r="N27" s="98">
        <f xml:space="preserve"> Time!N$56</f>
        <v>0</v>
      </c>
      <c r="O27" s="98">
        <f xml:space="preserve"> Time!O$56</f>
        <v>0</v>
      </c>
      <c r="P27" s="98">
        <f xml:space="preserve"> Time!P$56</f>
        <v>1</v>
      </c>
      <c r="Q27" s="98">
        <f xml:space="preserve"> Time!Q$56</f>
        <v>1</v>
      </c>
      <c r="R27" s="98">
        <f xml:space="preserve"> Time!R$56</f>
        <v>1</v>
      </c>
      <c r="S27" s="98">
        <f xml:space="preserve"> Time!S$56</f>
        <v>1</v>
      </c>
      <c r="T27" s="98">
        <f xml:space="preserve"> Time!T$56</f>
        <v>1</v>
      </c>
      <c r="U27" s="98">
        <f xml:space="preserve"> Time!U$56</f>
        <v>0</v>
      </c>
      <c r="V27" s="98">
        <f xml:space="preserve"> Time!V$56</f>
        <v>0</v>
      </c>
      <c r="W27" s="98">
        <f xml:space="preserve"> Time!W$56</f>
        <v>0</v>
      </c>
    </row>
    <row r="28" spans="1:23" s="194" customFormat="1" hidden="1" outlineLevel="1">
      <c r="A28" s="199"/>
      <c r="B28" s="199"/>
      <c r="C28" s="200"/>
      <c r="E28" s="194" t="s">
        <v>280</v>
      </c>
      <c r="G28" s="194" t="s">
        <v>171</v>
      </c>
      <c r="J28" s="42">
        <f xml:space="preserve"> ( J26 / $F$25 ) * J27</f>
        <v>0</v>
      </c>
      <c r="K28" s="42">
        <f t="shared" ref="K28:W28" si="4" xml:space="preserve"> ( K26 / $F$25 ) * K27</f>
        <v>0</v>
      </c>
      <c r="L28" s="42">
        <f t="shared" si="4"/>
        <v>0</v>
      </c>
      <c r="M28" s="42">
        <f t="shared" si="4"/>
        <v>0</v>
      </c>
      <c r="N28" s="42">
        <f t="shared" si="4"/>
        <v>0</v>
      </c>
      <c r="O28" s="42">
        <f t="shared" si="4"/>
        <v>0</v>
      </c>
      <c r="P28" s="42">
        <f t="shared" si="4"/>
        <v>1.0658153241650294</v>
      </c>
      <c r="Q28" s="42">
        <f t="shared" si="4"/>
        <v>1.0717092337917484</v>
      </c>
      <c r="R28" s="42">
        <f t="shared" si="4"/>
        <v>1.1208251473477406</v>
      </c>
      <c r="S28" s="42">
        <f t="shared" si="4"/>
        <v>1.2259332023575638</v>
      </c>
      <c r="T28" s="42">
        <f t="shared" si="4"/>
        <v>1.2774950884086445</v>
      </c>
      <c r="U28" s="42">
        <f t="shared" si="4"/>
        <v>0</v>
      </c>
      <c r="V28" s="42">
        <f t="shared" si="4"/>
        <v>0</v>
      </c>
      <c r="W28" s="42">
        <f t="shared" si="4"/>
        <v>0</v>
      </c>
    </row>
    <row r="29" spans="1:23" hidden="1" outlineLevel="1">
      <c r="A29" s="64"/>
      <c r="J29" s="33"/>
      <c r="K29" s="33"/>
      <c r="L29" s="33"/>
      <c r="M29" s="33"/>
      <c r="N29" s="33"/>
      <c r="O29" s="33"/>
      <c r="P29" s="33"/>
      <c r="Q29" s="33"/>
      <c r="R29" s="33"/>
      <c r="S29" s="33"/>
      <c r="T29" s="33"/>
      <c r="U29" s="33"/>
      <c r="V29" s="33"/>
      <c r="W29" s="33"/>
    </row>
    <row r="30" spans="1:23" hidden="1" outlineLevel="1">
      <c r="B30" s="63" t="s">
        <v>281</v>
      </c>
    </row>
    <row r="31" spans="1:23" s="195" customFormat="1" hidden="1" outlineLevel="1">
      <c r="A31" s="196"/>
      <c r="B31" s="196"/>
      <c r="C31" s="197"/>
      <c r="D31" s="198"/>
      <c r="E31" s="198" t="str">
        <f t="shared" ref="E31:W31" si="5" xml:space="preserve"> E$11</f>
        <v>CPIH: Nov % increase (prior year) - CALC</v>
      </c>
      <c r="F31" s="198">
        <f t="shared" si="5"/>
        <v>0</v>
      </c>
      <c r="G31" s="198" t="str">
        <f t="shared" si="5"/>
        <v>%</v>
      </c>
      <c r="H31" s="198">
        <f t="shared" si="5"/>
        <v>0</v>
      </c>
      <c r="I31" s="198">
        <f t="shared" si="5"/>
        <v>0</v>
      </c>
      <c r="J31" s="198">
        <f t="shared" si="5"/>
        <v>0</v>
      </c>
      <c r="K31" s="198">
        <f t="shared" si="5"/>
        <v>0</v>
      </c>
      <c r="L31" s="198">
        <f xml:space="preserve"> L$11</f>
        <v>1.0040040040040039</v>
      </c>
      <c r="M31" s="198">
        <f t="shared" si="5"/>
        <v>1.0149551345962113</v>
      </c>
      <c r="N31" s="198">
        <f t="shared" si="5"/>
        <v>1.0284872298624754</v>
      </c>
      <c r="O31" s="198">
        <f xml:space="preserve"> O$11</f>
        <v>1.0210124164278893</v>
      </c>
      <c r="P31" s="198">
        <f xml:space="preserve"> P$11</f>
        <v>1.0149672591206735</v>
      </c>
      <c r="Q31" s="198">
        <f t="shared" si="5"/>
        <v>1.0055299539170506</v>
      </c>
      <c r="R31" s="198">
        <f t="shared" si="5"/>
        <v>1.0458295142071494</v>
      </c>
      <c r="S31" s="198">
        <f t="shared" si="5"/>
        <v>1.0937773882559159</v>
      </c>
      <c r="T31" s="198">
        <f t="shared" si="5"/>
        <v>1.042059294871795</v>
      </c>
      <c r="U31" s="198">
        <f t="shared" si="5"/>
        <v>1.0312779542070039</v>
      </c>
      <c r="V31" s="198">
        <f t="shared" si="5"/>
        <v>1.02</v>
      </c>
      <c r="W31" s="198">
        <f t="shared" si="5"/>
        <v>1.02</v>
      </c>
    </row>
    <row r="32" spans="1:23" s="72" customFormat="1" hidden="1" outlineLevel="1">
      <c r="C32" s="136"/>
      <c r="E32" s="72" t="s">
        <v>282</v>
      </c>
      <c r="G32" s="72" t="s">
        <v>173</v>
      </c>
      <c r="I32" s="67"/>
      <c r="J32" s="72">
        <f t="shared" ref="J32:W32" si="6" xml:space="preserve"> IF(J31 = 0, 0, (J31 - 1))</f>
        <v>0</v>
      </c>
      <c r="K32" s="72">
        <f t="shared" si="6"/>
        <v>0</v>
      </c>
      <c r="L32" s="72">
        <f xml:space="preserve"> IF(L31 = 0, 0, (L31 - 1))</f>
        <v>4.0040040040039138E-3</v>
      </c>
      <c r="M32" s="72">
        <f t="shared" si="6"/>
        <v>1.4955134596211339E-2</v>
      </c>
      <c r="N32" s="72">
        <f t="shared" si="6"/>
        <v>2.8487229862475427E-2</v>
      </c>
      <c r="O32" s="72">
        <f xml:space="preserve"> IF(O31 = 0, 0, (O31 - 1))</f>
        <v>2.1012416427889313E-2</v>
      </c>
      <c r="P32" s="72">
        <f xml:space="preserve"> IF(P31 = 0, 0, (P31 - 1))</f>
        <v>1.4967259120673537E-2</v>
      </c>
      <c r="Q32" s="72">
        <f t="shared" si="6"/>
        <v>5.5299539170505785E-3</v>
      </c>
      <c r="R32" s="72">
        <f t="shared" si="6"/>
        <v>4.5829514207149424E-2</v>
      </c>
      <c r="S32" s="72">
        <f t="shared" si="6"/>
        <v>9.3777388255915861E-2</v>
      </c>
      <c r="T32" s="72">
        <f t="shared" si="6"/>
        <v>4.205929487179505E-2</v>
      </c>
      <c r="U32" s="72">
        <f t="shared" si="6"/>
        <v>3.1277954207003855E-2</v>
      </c>
      <c r="V32" s="72">
        <f t="shared" si="6"/>
        <v>2.0000000000000018E-2</v>
      </c>
      <c r="W32" s="72">
        <f t="shared" si="6"/>
        <v>2.0000000000000018E-2</v>
      </c>
    </row>
    <row r="33" spans="1:24" s="72" customFormat="1" hidden="1" outlineLevel="1">
      <c r="C33" s="136"/>
      <c r="I33" s="67"/>
    </row>
    <row r="34" spans="1:24" ht="12.75" customHeight="1">
      <c r="A34" s="115" t="s">
        <v>283</v>
      </c>
      <c r="B34" s="115"/>
      <c r="C34" s="114"/>
      <c r="D34" s="115"/>
      <c r="E34" s="115"/>
      <c r="F34" s="115"/>
      <c r="G34" s="115"/>
      <c r="H34" s="115"/>
      <c r="I34" s="115"/>
      <c r="J34" s="115"/>
      <c r="K34" s="115"/>
      <c r="L34" s="115"/>
      <c r="M34" s="115"/>
      <c r="N34" s="115"/>
      <c r="O34" s="115"/>
      <c r="P34" s="115"/>
      <c r="Q34" s="115"/>
      <c r="R34" s="115"/>
      <c r="S34" s="115"/>
      <c r="T34" s="115"/>
      <c r="U34" s="115"/>
      <c r="V34" s="115"/>
      <c r="W34" s="115"/>
      <c r="X34" s="6"/>
    </row>
    <row r="35" spans="1:24" collapsed="1">
      <c r="J35" s="33"/>
      <c r="K35" s="33"/>
      <c r="L35" s="33"/>
      <c r="M35" s="33"/>
      <c r="N35" s="33"/>
      <c r="O35" s="33"/>
      <c r="P35" s="33"/>
      <c r="Q35" s="33"/>
      <c r="R35" s="33"/>
      <c r="S35" s="33"/>
      <c r="T35" s="33"/>
      <c r="U35" s="33"/>
      <c r="V35" s="33"/>
    </row>
    <row r="36" spans="1:24" s="57" customFormat="1" hidden="1" outlineLevel="1">
      <c r="B36" s="63" t="s">
        <v>284</v>
      </c>
      <c r="D36" s="62"/>
      <c r="I36" s="101"/>
      <c r="J36" s="38"/>
      <c r="K36" s="38"/>
      <c r="L36" s="38"/>
      <c r="M36" s="38"/>
      <c r="N36" s="38"/>
      <c r="O36" s="38"/>
      <c r="P36" s="38"/>
      <c r="Q36" s="38"/>
      <c r="R36" s="38"/>
      <c r="S36" s="38"/>
      <c r="T36" s="38"/>
      <c r="U36" s="38"/>
      <c r="V36" s="38"/>
      <c r="W36" s="38"/>
    </row>
    <row r="37" spans="1:24" s="94" customFormat="1" hidden="1" outlineLevel="1">
      <c r="C37" s="53"/>
      <c r="E37" s="112" t="str">
        <f xml:space="preserve"> Inputs!E$151</f>
        <v>Unit conversion to percentage</v>
      </c>
      <c r="F37" s="112">
        <f xml:space="preserve"> Inputs!F$151</f>
        <v>100</v>
      </c>
      <c r="G37" s="112" t="str">
        <f xml:space="preserve"> Inputs!G$151</f>
        <v>#</v>
      </c>
      <c r="H37" s="112">
        <f xml:space="preserve"> Inputs!H$151</f>
        <v>0</v>
      </c>
      <c r="I37" s="112">
        <f xml:space="preserve"> Inputs!I$151</f>
        <v>0</v>
      </c>
      <c r="J37" s="112">
        <f xml:space="preserve"> Inputs!J$151</f>
        <v>0</v>
      </c>
      <c r="K37" s="112">
        <f xml:space="preserve"> Inputs!K$151</f>
        <v>0</v>
      </c>
      <c r="L37" s="112">
        <f xml:space="preserve"> Inputs!L$151</f>
        <v>0</v>
      </c>
      <c r="M37" s="112">
        <f xml:space="preserve"> Inputs!M$151</f>
        <v>0</v>
      </c>
      <c r="N37" s="112">
        <f xml:space="preserve"> Inputs!N$151</f>
        <v>0</v>
      </c>
      <c r="O37" s="112">
        <f xml:space="preserve"> Inputs!O$151</f>
        <v>0</v>
      </c>
      <c r="P37" s="112">
        <f xml:space="preserve"> Inputs!P$151</f>
        <v>0</v>
      </c>
      <c r="Q37" s="112">
        <f xml:space="preserve"> Inputs!Q$151</f>
        <v>0</v>
      </c>
      <c r="R37" s="112">
        <f xml:space="preserve"> Inputs!R$151</f>
        <v>0</v>
      </c>
      <c r="S37" s="112">
        <f xml:space="preserve"> Inputs!S$151</f>
        <v>0</v>
      </c>
      <c r="T37" s="112">
        <f xml:space="preserve"> Inputs!T$151</f>
        <v>0</v>
      </c>
      <c r="U37" s="112">
        <f xml:space="preserve"> Inputs!U$151</f>
        <v>0</v>
      </c>
      <c r="V37" s="112">
        <f xml:space="preserve"> Inputs!V$151</f>
        <v>0</v>
      </c>
      <c r="W37" s="112">
        <f xml:space="preserve"> Inputs!W$151</f>
        <v>0</v>
      </c>
    </row>
    <row r="38" spans="1:24" s="149" customFormat="1" ht="12.75" hidden="1" customHeight="1" outlineLevel="1">
      <c r="A38" s="146"/>
      <c r="B38" s="146"/>
      <c r="C38" s="147"/>
      <c r="D38" s="148"/>
      <c r="E38" s="96" t="str">
        <f xml:space="preserve"> Inputs!E79</f>
        <v>Revised K - Water Res</v>
      </c>
      <c r="F38" s="96">
        <f xml:space="preserve"> Inputs!F79</f>
        <v>0</v>
      </c>
      <c r="G38" s="96" t="str">
        <f xml:space="preserve"> Inputs!G79</f>
        <v>#</v>
      </c>
      <c r="H38" s="96">
        <f xml:space="preserve"> Inputs!H79</f>
        <v>6.58</v>
      </c>
      <c r="I38" s="96">
        <f xml:space="preserve"> Inputs!I79</f>
        <v>0</v>
      </c>
      <c r="J38" s="96">
        <f xml:space="preserve"> Inputs!J79</f>
        <v>0</v>
      </c>
      <c r="K38" s="96">
        <f xml:space="preserve"> Inputs!K79</f>
        <v>0</v>
      </c>
      <c r="L38" s="96">
        <f xml:space="preserve"> Inputs!L79</f>
        <v>0</v>
      </c>
      <c r="M38" s="96">
        <f xml:space="preserve"> Inputs!M79</f>
        <v>0</v>
      </c>
      <c r="N38" s="96">
        <f xml:space="preserve"> Inputs!N79</f>
        <v>0</v>
      </c>
      <c r="O38" s="96">
        <f xml:space="preserve"> Inputs!O79</f>
        <v>0</v>
      </c>
      <c r="P38" s="96">
        <f xml:space="preserve"> Inputs!P79</f>
        <v>0</v>
      </c>
      <c r="Q38" s="96">
        <f xml:space="preserve"> Inputs!Q79</f>
        <v>3.9</v>
      </c>
      <c r="R38" s="96">
        <f xml:space="preserve"> Inputs!R79</f>
        <v>-1.02</v>
      </c>
      <c r="S38" s="96">
        <f xml:space="preserve"> Inputs!S79</f>
        <v>0.55000000000000004</v>
      </c>
      <c r="T38" s="96">
        <f xml:space="preserve"> Inputs!T79</f>
        <v>3.15</v>
      </c>
      <c r="U38" s="96">
        <f xml:space="preserve"> Inputs!U79</f>
        <v>0</v>
      </c>
      <c r="V38" s="96">
        <f xml:space="preserve"> Inputs!V79</f>
        <v>0</v>
      </c>
      <c r="W38" s="96">
        <f xml:space="preserve"> Inputs!W79</f>
        <v>0</v>
      </c>
      <c r="X38" s="148"/>
    </row>
    <row r="39" spans="1:24" s="72" customFormat="1" hidden="1" outlineLevel="1">
      <c r="C39" s="136"/>
      <c r="E39" s="38" t="s">
        <v>285</v>
      </c>
      <c r="F39" s="38"/>
      <c r="G39" s="38" t="s">
        <v>173</v>
      </c>
      <c r="H39" s="38"/>
      <c r="I39" s="39"/>
      <c r="J39" s="38">
        <f t="shared" ref="J39:W39" si="7" xml:space="preserve"> IF($F37 = 0, 0, J38 / $F37)</f>
        <v>0</v>
      </c>
      <c r="K39" s="38">
        <f t="shared" si="7"/>
        <v>0</v>
      </c>
      <c r="L39" s="38">
        <f t="shared" si="7"/>
        <v>0</v>
      </c>
      <c r="M39" s="38">
        <f t="shared" si="7"/>
        <v>0</v>
      </c>
      <c r="N39" s="38">
        <f t="shared" si="7"/>
        <v>0</v>
      </c>
      <c r="O39" s="38">
        <f t="shared" si="7"/>
        <v>0</v>
      </c>
      <c r="P39" s="38">
        <f t="shared" si="7"/>
        <v>0</v>
      </c>
      <c r="Q39" s="38">
        <f t="shared" si="7"/>
        <v>3.9E-2</v>
      </c>
      <c r="R39" s="38">
        <f t="shared" si="7"/>
        <v>-1.0200000000000001E-2</v>
      </c>
      <c r="S39" s="38">
        <f t="shared" si="7"/>
        <v>5.5000000000000005E-3</v>
      </c>
      <c r="T39" s="38">
        <f t="shared" si="7"/>
        <v>3.15E-2</v>
      </c>
      <c r="U39" s="38">
        <f t="shared" si="7"/>
        <v>0</v>
      </c>
      <c r="V39" s="38">
        <f t="shared" si="7"/>
        <v>0</v>
      </c>
      <c r="W39" s="38">
        <f t="shared" si="7"/>
        <v>0</v>
      </c>
    </row>
    <row r="40" spans="1:24" s="57" customFormat="1" hidden="1" outlineLevel="1">
      <c r="C40" s="110"/>
      <c r="I40" s="101"/>
      <c r="J40" s="4"/>
      <c r="K40" s="4"/>
      <c r="L40" s="4"/>
      <c r="M40" s="4"/>
      <c r="N40" s="4"/>
      <c r="O40" s="4"/>
      <c r="P40" s="4"/>
      <c r="Q40" s="4"/>
      <c r="R40" s="4"/>
      <c r="S40" s="4"/>
      <c r="T40" s="4"/>
      <c r="U40" s="4"/>
      <c r="V40" s="4"/>
      <c r="W40" s="4"/>
    </row>
    <row r="41" spans="1:24" s="149" customFormat="1" ht="12.75" hidden="1" customHeight="1" outlineLevel="1">
      <c r="A41" s="146"/>
      <c r="B41" s="146"/>
      <c r="C41" s="147"/>
      <c r="D41" s="148"/>
      <c r="E41" s="150" t="str">
        <f>E$39</f>
        <v>K - Water Res percentage</v>
      </c>
      <c r="F41" s="150">
        <f t="shared" ref="F41:W41" si="8">F$39</f>
        <v>0</v>
      </c>
      <c r="G41" s="150" t="str">
        <f t="shared" si="8"/>
        <v>%</v>
      </c>
      <c r="H41" s="150">
        <f t="shared" si="8"/>
        <v>0</v>
      </c>
      <c r="I41" s="150">
        <f t="shared" si="8"/>
        <v>0</v>
      </c>
      <c r="J41" s="150">
        <f t="shared" si="8"/>
        <v>0</v>
      </c>
      <c r="K41" s="150">
        <f t="shared" si="8"/>
        <v>0</v>
      </c>
      <c r="L41" s="150">
        <f t="shared" si="8"/>
        <v>0</v>
      </c>
      <c r="M41" s="150">
        <f t="shared" si="8"/>
        <v>0</v>
      </c>
      <c r="N41" s="150">
        <f t="shared" si="8"/>
        <v>0</v>
      </c>
      <c r="O41" s="150">
        <f t="shared" si="8"/>
        <v>0</v>
      </c>
      <c r="P41" s="150">
        <f>P$39</f>
        <v>0</v>
      </c>
      <c r="Q41" s="150">
        <f t="shared" si="8"/>
        <v>3.9E-2</v>
      </c>
      <c r="R41" s="150">
        <f t="shared" si="8"/>
        <v>-1.0200000000000001E-2</v>
      </c>
      <c r="S41" s="150">
        <f t="shared" si="8"/>
        <v>5.5000000000000005E-3</v>
      </c>
      <c r="T41" s="150">
        <f t="shared" si="8"/>
        <v>3.15E-2</v>
      </c>
      <c r="U41" s="150">
        <f t="shared" si="8"/>
        <v>0</v>
      </c>
      <c r="V41" s="150">
        <f t="shared" si="8"/>
        <v>0</v>
      </c>
      <c r="W41" s="150">
        <f t="shared" si="8"/>
        <v>0</v>
      </c>
      <c r="X41" s="148"/>
    </row>
    <row r="42" spans="1:24" s="72" customFormat="1" hidden="1" outlineLevel="1">
      <c r="C42" s="136"/>
      <c r="E42" s="38" t="str">
        <f t="shared" ref="E42:W42" si="9" xml:space="preserve"> E$32</f>
        <v>Actual CPIH: Nov - Nov increase from base year</v>
      </c>
      <c r="F42" s="38">
        <f t="shared" si="9"/>
        <v>0</v>
      </c>
      <c r="G42" s="38" t="str">
        <f t="shared" si="9"/>
        <v>%</v>
      </c>
      <c r="H42" s="38">
        <f t="shared" si="9"/>
        <v>0</v>
      </c>
      <c r="I42" s="38">
        <f t="shared" si="9"/>
        <v>0</v>
      </c>
      <c r="J42" s="38">
        <f t="shared" si="9"/>
        <v>0</v>
      </c>
      <c r="K42" s="38">
        <f t="shared" si="9"/>
        <v>0</v>
      </c>
      <c r="L42" s="38">
        <f t="shared" si="9"/>
        <v>4.0040040040039138E-3</v>
      </c>
      <c r="M42" s="38">
        <f t="shared" si="9"/>
        <v>1.4955134596211339E-2</v>
      </c>
      <c r="N42" s="38">
        <f t="shared" si="9"/>
        <v>2.8487229862475427E-2</v>
      </c>
      <c r="O42" s="38">
        <f t="shared" si="9"/>
        <v>2.1012416427889313E-2</v>
      </c>
      <c r="P42" s="38">
        <f xml:space="preserve"> P$32</f>
        <v>1.4967259120673537E-2</v>
      </c>
      <c r="Q42" s="38">
        <f t="shared" si="9"/>
        <v>5.5299539170505785E-3</v>
      </c>
      <c r="R42" s="38">
        <f t="shared" si="9"/>
        <v>4.5829514207149424E-2</v>
      </c>
      <c r="S42" s="38">
        <f t="shared" si="9"/>
        <v>9.3777388255915861E-2</v>
      </c>
      <c r="T42" s="38">
        <f t="shared" si="9"/>
        <v>4.205929487179505E-2</v>
      </c>
      <c r="U42" s="38">
        <f t="shared" si="9"/>
        <v>3.1277954207003855E-2</v>
      </c>
      <c r="V42" s="38">
        <f t="shared" si="9"/>
        <v>2.0000000000000018E-2</v>
      </c>
      <c r="W42" s="38">
        <f t="shared" si="9"/>
        <v>2.0000000000000018E-2</v>
      </c>
    </row>
    <row r="43" spans="1:24" s="6" customFormat="1" ht="12.75" hidden="1" customHeight="1" outlineLevel="1">
      <c r="A43" s="64"/>
      <c r="B43" s="64"/>
      <c r="C43" s="62"/>
      <c r="D43" s="159"/>
      <c r="E43" s="98" t="str">
        <f xml:space="preserve"> Time!E$56</f>
        <v>Forecast period flag</v>
      </c>
      <c r="F43" s="98">
        <f xml:space="preserve"> Time!F$56</f>
        <v>0</v>
      </c>
      <c r="G43" s="98" t="str">
        <f xml:space="preserve"> Time!G$56</f>
        <v>flag</v>
      </c>
      <c r="H43" s="98">
        <f xml:space="preserve"> Time!H$56</f>
        <v>5</v>
      </c>
      <c r="I43" s="98">
        <f xml:space="preserve"> Time!I$56</f>
        <v>0</v>
      </c>
      <c r="J43" s="98">
        <f xml:space="preserve"> Time!J$56</f>
        <v>0</v>
      </c>
      <c r="K43" s="98">
        <f xml:space="preserve"> Time!K$56</f>
        <v>0</v>
      </c>
      <c r="L43" s="98">
        <f xml:space="preserve"> Time!L$56</f>
        <v>0</v>
      </c>
      <c r="M43" s="98">
        <f xml:space="preserve"> Time!M$56</f>
        <v>0</v>
      </c>
      <c r="N43" s="98">
        <f xml:space="preserve"> Time!N$56</f>
        <v>0</v>
      </c>
      <c r="O43" s="98">
        <f xml:space="preserve"> Time!O$56</f>
        <v>0</v>
      </c>
      <c r="P43" s="98">
        <f xml:space="preserve"> Time!P$56</f>
        <v>1</v>
      </c>
      <c r="Q43" s="98">
        <f xml:space="preserve"> Time!Q$56</f>
        <v>1</v>
      </c>
      <c r="R43" s="98">
        <f xml:space="preserve"> Time!R$56</f>
        <v>1</v>
      </c>
      <c r="S43" s="98">
        <f xml:space="preserve"> Time!S$56</f>
        <v>1</v>
      </c>
      <c r="T43" s="98">
        <f xml:space="preserve"> Time!T$56</f>
        <v>1</v>
      </c>
      <c r="U43" s="98">
        <f xml:space="preserve"> Time!U$56</f>
        <v>0</v>
      </c>
      <c r="V43" s="98">
        <f xml:space="preserve"> Time!V$56</f>
        <v>0</v>
      </c>
      <c r="W43" s="98">
        <f xml:space="preserve"> Time!W$56</f>
        <v>0</v>
      </c>
    </row>
    <row r="44" spans="1:24" s="97" customFormat="1" hidden="1" outlineLevel="1">
      <c r="A44" s="46"/>
      <c r="B44" s="46"/>
      <c r="C44" s="47"/>
      <c r="E44" s="97" t="s">
        <v>286</v>
      </c>
      <c r="G44" s="97" t="s">
        <v>287</v>
      </c>
      <c r="I44" s="55"/>
      <c r="J44" s="230">
        <f t="shared" ref="J44:W44" si="10" xml:space="preserve"> (1 + J41 + J42) * J43</f>
        <v>0</v>
      </c>
      <c r="K44" s="230">
        <f t="shared" si="10"/>
        <v>0</v>
      </c>
      <c r="L44" s="230">
        <f t="shared" si="10"/>
        <v>0</v>
      </c>
      <c r="M44" s="230">
        <f t="shared" si="10"/>
        <v>0</v>
      </c>
      <c r="N44" s="230">
        <f t="shared" si="10"/>
        <v>0</v>
      </c>
      <c r="O44" s="230">
        <f t="shared" si="10"/>
        <v>0</v>
      </c>
      <c r="P44" s="230">
        <f xml:space="preserve"> (1 + P41 + P42) * P43</f>
        <v>1.0149672591206735</v>
      </c>
      <c r="Q44" s="230">
        <f t="shared" si="10"/>
        <v>1.0445299539170505</v>
      </c>
      <c r="R44" s="230">
        <f t="shared" si="10"/>
        <v>1.0356295142071494</v>
      </c>
      <c r="S44" s="230">
        <f t="shared" si="10"/>
        <v>1.0992773882559159</v>
      </c>
      <c r="T44" s="230">
        <f t="shared" si="10"/>
        <v>1.0735592948717951</v>
      </c>
      <c r="U44" s="230">
        <f t="shared" si="10"/>
        <v>0</v>
      </c>
      <c r="V44" s="230">
        <f t="shared" si="10"/>
        <v>0</v>
      </c>
      <c r="W44" s="230">
        <f t="shared" si="10"/>
        <v>0</v>
      </c>
    </row>
    <row r="45" spans="1:24" s="97" customFormat="1" hidden="1" outlineLevel="1">
      <c r="A45" s="46"/>
      <c r="B45" s="46"/>
      <c r="C45" s="47"/>
      <c r="I45" s="55"/>
      <c r="J45" s="59"/>
      <c r="K45" s="59"/>
      <c r="L45" s="59"/>
      <c r="M45" s="59"/>
      <c r="N45" s="59"/>
      <c r="O45" s="59"/>
      <c r="P45" s="59"/>
      <c r="Q45" s="59"/>
      <c r="R45" s="59"/>
      <c r="S45" s="59"/>
      <c r="T45" s="59"/>
      <c r="U45" s="59"/>
      <c r="V45" s="59"/>
      <c r="W45" s="59"/>
    </row>
    <row r="46" spans="1:24" s="57" customFormat="1" hidden="1" outlineLevel="1">
      <c r="B46" s="63" t="s">
        <v>288</v>
      </c>
      <c r="I46" s="101"/>
      <c r="J46" s="38"/>
      <c r="K46" s="38"/>
      <c r="L46" s="38"/>
      <c r="M46" s="38"/>
      <c r="N46" s="38"/>
      <c r="O46" s="38"/>
      <c r="P46" s="38"/>
      <c r="Q46" s="38"/>
      <c r="R46" s="38"/>
      <c r="S46" s="38"/>
      <c r="T46" s="38"/>
      <c r="U46" s="38"/>
      <c r="V46" s="38"/>
      <c r="W46" s="38"/>
    </row>
    <row r="47" spans="1:24" s="94" customFormat="1" hidden="1" outlineLevel="1">
      <c r="C47" s="53"/>
      <c r="E47" s="112" t="str">
        <f xml:space="preserve"> Inputs!E$151</f>
        <v>Unit conversion to percentage</v>
      </c>
      <c r="F47" s="112">
        <f xml:space="preserve"> Inputs!F$151</f>
        <v>100</v>
      </c>
      <c r="G47" s="112" t="str">
        <f xml:space="preserve"> Inputs!G$151</f>
        <v>#</v>
      </c>
      <c r="H47" s="112">
        <f xml:space="preserve"> Inputs!H$151</f>
        <v>0</v>
      </c>
      <c r="I47" s="112">
        <f xml:space="preserve"> Inputs!I$151</f>
        <v>0</v>
      </c>
      <c r="J47" s="112">
        <f xml:space="preserve"> Inputs!J$151</f>
        <v>0</v>
      </c>
      <c r="K47" s="112">
        <f xml:space="preserve"> Inputs!K$151</f>
        <v>0</v>
      </c>
      <c r="L47" s="112">
        <f xml:space="preserve"> Inputs!L$151</f>
        <v>0</v>
      </c>
      <c r="M47" s="112">
        <f xml:space="preserve"> Inputs!M$151</f>
        <v>0</v>
      </c>
      <c r="N47" s="112">
        <f xml:space="preserve"> Inputs!N$151</f>
        <v>0</v>
      </c>
      <c r="O47" s="112">
        <f xml:space="preserve"> Inputs!O$151</f>
        <v>0</v>
      </c>
      <c r="P47" s="112">
        <f xml:space="preserve"> Inputs!P$151</f>
        <v>0</v>
      </c>
      <c r="Q47" s="112">
        <f xml:space="preserve"> Inputs!Q$151</f>
        <v>0</v>
      </c>
      <c r="R47" s="112">
        <f xml:space="preserve"> Inputs!R$151</f>
        <v>0</v>
      </c>
      <c r="S47" s="112">
        <f xml:space="preserve"> Inputs!S$151</f>
        <v>0</v>
      </c>
      <c r="T47" s="112">
        <f xml:space="preserve"> Inputs!T$151</f>
        <v>0</v>
      </c>
      <c r="U47" s="112">
        <f xml:space="preserve"> Inputs!U$151</f>
        <v>0</v>
      </c>
      <c r="V47" s="112">
        <f xml:space="preserve"> Inputs!V$151</f>
        <v>0</v>
      </c>
      <c r="W47" s="112">
        <f xml:space="preserve"> Inputs!W$151</f>
        <v>0</v>
      </c>
    </row>
    <row r="48" spans="1:24" s="149" customFormat="1" ht="12.75" hidden="1" customHeight="1" outlineLevel="1">
      <c r="A48" s="146"/>
      <c r="B48" s="146"/>
      <c r="C48" s="147"/>
      <c r="D48" s="148"/>
      <c r="E48" s="96" t="str">
        <f xml:space="preserve"> Inputs!E$97</f>
        <v>Revised K - Water-N+</v>
      </c>
      <c r="F48" s="96">
        <f xml:space="preserve"> Inputs!F$97</f>
        <v>0</v>
      </c>
      <c r="G48" s="96" t="str">
        <f xml:space="preserve"> Inputs!G$97</f>
        <v>#</v>
      </c>
      <c r="H48" s="96">
        <f xml:space="preserve"> Inputs!H$97</f>
        <v>1.58</v>
      </c>
      <c r="I48" s="96">
        <f xml:space="preserve"> Inputs!I$97</f>
        <v>0</v>
      </c>
      <c r="J48" s="96">
        <f xml:space="preserve"> Inputs!J$97</f>
        <v>0</v>
      </c>
      <c r="K48" s="96">
        <f xml:space="preserve"> Inputs!K$97</f>
        <v>0</v>
      </c>
      <c r="L48" s="96">
        <f xml:space="preserve"> Inputs!L$97</f>
        <v>0</v>
      </c>
      <c r="M48" s="96">
        <f xml:space="preserve"> Inputs!M$97</f>
        <v>0</v>
      </c>
      <c r="N48" s="96">
        <f xml:space="preserve"> Inputs!N$97</f>
        <v>0</v>
      </c>
      <c r="O48" s="96">
        <f xml:space="preserve"> Inputs!O$97</f>
        <v>0</v>
      </c>
      <c r="P48" s="96">
        <f xml:space="preserve"> Inputs!P$97</f>
        <v>0</v>
      </c>
      <c r="Q48" s="96">
        <f xml:space="preserve"> Inputs!Q$97</f>
        <v>7.44</v>
      </c>
      <c r="R48" s="96">
        <f xml:space="preserve"> Inputs!R$97</f>
        <v>-2.34</v>
      </c>
      <c r="S48" s="96">
        <f xml:space="preserve"> Inputs!S$97</f>
        <v>3.74</v>
      </c>
      <c r="T48" s="96">
        <f xml:space="preserve"> Inputs!T$97</f>
        <v>-7.26</v>
      </c>
      <c r="U48" s="96">
        <f xml:space="preserve"> Inputs!U$97</f>
        <v>0</v>
      </c>
      <c r="V48" s="96">
        <f xml:space="preserve"> Inputs!V$97</f>
        <v>0</v>
      </c>
      <c r="W48" s="96">
        <f xml:space="preserve"> Inputs!W$97</f>
        <v>0</v>
      </c>
      <c r="X48" s="148"/>
    </row>
    <row r="49" spans="1:23" s="72" customFormat="1" hidden="1" outlineLevel="1">
      <c r="C49" s="136"/>
      <c r="E49" s="38" t="s">
        <v>289</v>
      </c>
      <c r="F49" s="38"/>
      <c r="G49" s="38" t="s">
        <v>173</v>
      </c>
      <c r="H49" s="38"/>
      <c r="I49" s="39"/>
      <c r="J49" s="38">
        <f t="shared" ref="J49:W49" si="11" xml:space="preserve"> IF($F47 = 0, 0, J48 / $F47)</f>
        <v>0</v>
      </c>
      <c r="K49" s="38">
        <f t="shared" si="11"/>
        <v>0</v>
      </c>
      <c r="L49" s="38">
        <f t="shared" si="11"/>
        <v>0</v>
      </c>
      <c r="M49" s="38">
        <f t="shared" si="11"/>
        <v>0</v>
      </c>
      <c r="N49" s="38">
        <f t="shared" si="11"/>
        <v>0</v>
      </c>
      <c r="O49" s="38">
        <f t="shared" si="11"/>
        <v>0</v>
      </c>
      <c r="P49" s="38">
        <f t="shared" si="11"/>
        <v>0</v>
      </c>
      <c r="Q49" s="38">
        <f t="shared" si="11"/>
        <v>7.4400000000000008E-2</v>
      </c>
      <c r="R49" s="38">
        <f t="shared" si="11"/>
        <v>-2.3399999999999997E-2</v>
      </c>
      <c r="S49" s="38">
        <f t="shared" si="11"/>
        <v>3.7400000000000003E-2</v>
      </c>
      <c r="T49" s="38">
        <f t="shared" si="11"/>
        <v>-7.2599999999999998E-2</v>
      </c>
      <c r="U49" s="38">
        <f t="shared" si="11"/>
        <v>0</v>
      </c>
      <c r="V49" s="38">
        <f t="shared" si="11"/>
        <v>0</v>
      </c>
      <c r="W49" s="38">
        <f t="shared" si="11"/>
        <v>0</v>
      </c>
    </row>
    <row r="50" spans="1:23" s="57" customFormat="1" hidden="1" outlineLevel="1">
      <c r="C50" s="110"/>
      <c r="I50" s="101"/>
      <c r="J50" s="4"/>
      <c r="K50" s="4"/>
      <c r="L50" s="4"/>
      <c r="M50" s="4"/>
      <c r="N50" s="4"/>
      <c r="O50" s="4"/>
      <c r="P50" s="4"/>
      <c r="Q50" s="4"/>
      <c r="R50" s="4"/>
      <c r="S50" s="4"/>
      <c r="T50" s="4"/>
      <c r="U50" s="4"/>
      <c r="V50" s="4"/>
      <c r="W50" s="4"/>
    </row>
    <row r="51" spans="1:23" s="149" customFormat="1" ht="12.75" hidden="1" customHeight="1" outlineLevel="1">
      <c r="A51" s="146"/>
      <c r="B51" s="146"/>
      <c r="C51" s="147"/>
      <c r="D51" s="148"/>
      <c r="E51" s="150" t="str">
        <f t="shared" ref="E51:W51" si="12" xml:space="preserve"> E$49</f>
        <v>K - Water-N+ percentage</v>
      </c>
      <c r="F51" s="150">
        <f t="shared" si="12"/>
        <v>0</v>
      </c>
      <c r="G51" s="150" t="str">
        <f t="shared" si="12"/>
        <v>%</v>
      </c>
      <c r="H51" s="150">
        <f t="shared" si="12"/>
        <v>0</v>
      </c>
      <c r="I51" s="150">
        <f t="shared" si="12"/>
        <v>0</v>
      </c>
      <c r="J51" s="150">
        <f t="shared" si="12"/>
        <v>0</v>
      </c>
      <c r="K51" s="150">
        <f t="shared" si="12"/>
        <v>0</v>
      </c>
      <c r="L51" s="150">
        <f t="shared" si="12"/>
        <v>0</v>
      </c>
      <c r="M51" s="150">
        <f t="shared" si="12"/>
        <v>0</v>
      </c>
      <c r="N51" s="150">
        <f t="shared" si="12"/>
        <v>0</v>
      </c>
      <c r="O51" s="150">
        <f t="shared" si="12"/>
        <v>0</v>
      </c>
      <c r="P51" s="150">
        <f t="shared" si="12"/>
        <v>0</v>
      </c>
      <c r="Q51" s="150">
        <f t="shared" si="12"/>
        <v>7.4400000000000008E-2</v>
      </c>
      <c r="R51" s="150">
        <f t="shared" si="12"/>
        <v>-2.3399999999999997E-2</v>
      </c>
      <c r="S51" s="150">
        <f t="shared" si="12"/>
        <v>3.7400000000000003E-2</v>
      </c>
      <c r="T51" s="150">
        <f t="shared" si="12"/>
        <v>-7.2599999999999998E-2</v>
      </c>
      <c r="U51" s="150">
        <f t="shared" si="12"/>
        <v>0</v>
      </c>
      <c r="V51" s="150">
        <f t="shared" si="12"/>
        <v>0</v>
      </c>
      <c r="W51" s="150">
        <f t="shared" si="12"/>
        <v>0</v>
      </c>
    </row>
    <row r="52" spans="1:23" s="72" customFormat="1" hidden="1" outlineLevel="1">
      <c r="C52" s="136"/>
      <c r="E52" s="38" t="str">
        <f t="shared" ref="E52:W52" si="13" xml:space="preserve"> E$32</f>
        <v>Actual CPIH: Nov - Nov increase from base year</v>
      </c>
      <c r="F52" s="38">
        <f t="shared" si="13"/>
        <v>0</v>
      </c>
      <c r="G52" s="38" t="str">
        <f t="shared" si="13"/>
        <v>%</v>
      </c>
      <c r="H52" s="38">
        <f t="shared" si="13"/>
        <v>0</v>
      </c>
      <c r="I52" s="38">
        <f t="shared" si="13"/>
        <v>0</v>
      </c>
      <c r="J52" s="38">
        <f t="shared" si="13"/>
        <v>0</v>
      </c>
      <c r="K52" s="38">
        <f t="shared" si="13"/>
        <v>0</v>
      </c>
      <c r="L52" s="38">
        <f t="shared" si="13"/>
        <v>4.0040040040039138E-3</v>
      </c>
      <c r="M52" s="38">
        <f t="shared" si="13"/>
        <v>1.4955134596211339E-2</v>
      </c>
      <c r="N52" s="38">
        <f t="shared" si="13"/>
        <v>2.8487229862475427E-2</v>
      </c>
      <c r="O52" s="38">
        <f t="shared" si="13"/>
        <v>2.1012416427889313E-2</v>
      </c>
      <c r="P52" s="38">
        <f t="shared" si="13"/>
        <v>1.4967259120673537E-2</v>
      </c>
      <c r="Q52" s="38">
        <f t="shared" si="13"/>
        <v>5.5299539170505785E-3</v>
      </c>
      <c r="R52" s="38">
        <f t="shared" si="13"/>
        <v>4.5829514207149424E-2</v>
      </c>
      <c r="S52" s="38">
        <f t="shared" si="13"/>
        <v>9.3777388255915861E-2</v>
      </c>
      <c r="T52" s="38">
        <f t="shared" si="13"/>
        <v>4.205929487179505E-2</v>
      </c>
      <c r="U52" s="38">
        <f t="shared" si="13"/>
        <v>3.1277954207003855E-2</v>
      </c>
      <c r="V52" s="38">
        <f t="shared" si="13"/>
        <v>2.0000000000000018E-2</v>
      </c>
      <c r="W52" s="38">
        <f t="shared" si="13"/>
        <v>2.0000000000000018E-2</v>
      </c>
    </row>
    <row r="53" spans="1:23" s="6" customFormat="1" ht="12.75" hidden="1" customHeight="1" outlineLevel="1">
      <c r="A53" s="64"/>
      <c r="B53" s="64"/>
      <c r="C53" s="62"/>
      <c r="D53" s="159"/>
      <c r="E53" s="98" t="str">
        <f xml:space="preserve"> Time!E$56</f>
        <v>Forecast period flag</v>
      </c>
      <c r="F53" s="98">
        <f xml:space="preserve"> Time!F$56</f>
        <v>0</v>
      </c>
      <c r="G53" s="98" t="str">
        <f xml:space="preserve"> Time!G$56</f>
        <v>flag</v>
      </c>
      <c r="H53" s="98">
        <f xml:space="preserve"> Time!H$56</f>
        <v>5</v>
      </c>
      <c r="I53" s="98">
        <f xml:space="preserve"> Time!I$56</f>
        <v>0</v>
      </c>
      <c r="J53" s="98">
        <f xml:space="preserve"> Time!J$56</f>
        <v>0</v>
      </c>
      <c r="K53" s="98">
        <f xml:space="preserve"> Time!K$56</f>
        <v>0</v>
      </c>
      <c r="L53" s="98">
        <f xml:space="preserve"> Time!L$56</f>
        <v>0</v>
      </c>
      <c r="M53" s="98">
        <f xml:space="preserve"> Time!M$56</f>
        <v>0</v>
      </c>
      <c r="N53" s="98">
        <f xml:space="preserve"> Time!N$56</f>
        <v>0</v>
      </c>
      <c r="O53" s="98">
        <f xml:space="preserve"> Time!O$56</f>
        <v>0</v>
      </c>
      <c r="P53" s="98">
        <f xml:space="preserve"> Time!P$56</f>
        <v>1</v>
      </c>
      <c r="Q53" s="98">
        <f xml:space="preserve"> Time!Q$56</f>
        <v>1</v>
      </c>
      <c r="R53" s="98">
        <f xml:space="preserve"> Time!R$56</f>
        <v>1</v>
      </c>
      <c r="S53" s="98">
        <f xml:space="preserve"> Time!S$56</f>
        <v>1</v>
      </c>
      <c r="T53" s="98">
        <f xml:space="preserve"> Time!T$56</f>
        <v>1</v>
      </c>
      <c r="U53" s="98">
        <f xml:space="preserve"> Time!U$56</f>
        <v>0</v>
      </c>
      <c r="V53" s="98">
        <f xml:space="preserve"> Time!V$56</f>
        <v>0</v>
      </c>
      <c r="W53" s="98">
        <f xml:space="preserve"> Time!W$56</f>
        <v>0</v>
      </c>
    </row>
    <row r="54" spans="1:23" s="97" customFormat="1" hidden="1" outlineLevel="1">
      <c r="A54" s="46"/>
      <c r="B54" s="46"/>
      <c r="C54" s="47"/>
      <c r="E54" s="97" t="s">
        <v>290</v>
      </c>
      <c r="G54" s="97" t="s">
        <v>287</v>
      </c>
      <c r="I54" s="55"/>
      <c r="J54" s="230">
        <f t="shared" ref="J54:W54" si="14" xml:space="preserve"> (1 + J51 + J52) * J53</f>
        <v>0</v>
      </c>
      <c r="K54" s="230">
        <f t="shared" si="14"/>
        <v>0</v>
      </c>
      <c r="L54" s="230">
        <f t="shared" si="14"/>
        <v>0</v>
      </c>
      <c r="M54" s="230">
        <f t="shared" si="14"/>
        <v>0</v>
      </c>
      <c r="N54" s="230">
        <f t="shared" si="14"/>
        <v>0</v>
      </c>
      <c r="O54" s="230">
        <f t="shared" si="14"/>
        <v>0</v>
      </c>
      <c r="P54" s="230">
        <f xml:space="preserve"> (1 + P51 + P52) * P53</f>
        <v>1.0149672591206735</v>
      </c>
      <c r="Q54" s="230">
        <f t="shared" si="14"/>
        <v>1.0799299539170506</v>
      </c>
      <c r="R54" s="230">
        <f t="shared" si="14"/>
        <v>1.0224295142071496</v>
      </c>
      <c r="S54" s="230">
        <f t="shared" si="14"/>
        <v>1.131177388255916</v>
      </c>
      <c r="T54" s="230">
        <f t="shared" si="14"/>
        <v>0.96945929487179505</v>
      </c>
      <c r="U54" s="230">
        <f t="shared" si="14"/>
        <v>0</v>
      </c>
      <c r="V54" s="230">
        <f t="shared" si="14"/>
        <v>0</v>
      </c>
      <c r="W54" s="230">
        <f t="shared" si="14"/>
        <v>0</v>
      </c>
    </row>
    <row r="55" spans="1:23" s="97" customFormat="1" hidden="1" outlineLevel="1">
      <c r="A55" s="46"/>
      <c r="B55" s="46"/>
      <c r="C55" s="47"/>
      <c r="I55" s="55"/>
      <c r="J55" s="59"/>
      <c r="K55" s="59"/>
      <c r="L55" s="59"/>
      <c r="M55" s="59"/>
      <c r="N55" s="59"/>
      <c r="O55" s="59"/>
      <c r="P55" s="59"/>
      <c r="Q55" s="59"/>
      <c r="R55" s="59"/>
      <c r="S55" s="59"/>
      <c r="T55" s="59"/>
      <c r="U55" s="59"/>
      <c r="V55" s="59"/>
      <c r="W55" s="59"/>
    </row>
    <row r="56" spans="1:23" hidden="1" outlineLevel="1">
      <c r="B56" s="63" t="s">
        <v>291</v>
      </c>
      <c r="J56" s="33"/>
      <c r="K56" s="33"/>
      <c r="L56" s="33"/>
      <c r="M56" s="33"/>
      <c r="N56" s="19"/>
      <c r="O56" s="19"/>
      <c r="P56" s="19"/>
      <c r="Q56" s="19"/>
      <c r="R56" s="19"/>
      <c r="S56" s="33"/>
      <c r="T56" s="33"/>
      <c r="U56" s="33"/>
      <c r="V56" s="33"/>
      <c r="W56" s="33"/>
    </row>
    <row r="57" spans="1:23" s="94" customFormat="1" hidden="1" outlineLevel="1">
      <c r="C57" s="53"/>
      <c r="E57" s="112" t="str">
        <f xml:space="preserve"> Inputs!E$151</f>
        <v>Unit conversion to percentage</v>
      </c>
      <c r="F57" s="112">
        <f xml:space="preserve"> Inputs!F$151</f>
        <v>100</v>
      </c>
      <c r="G57" s="112" t="str">
        <f xml:space="preserve"> Inputs!G$151</f>
        <v>#</v>
      </c>
      <c r="H57" s="112">
        <f xml:space="preserve"> Inputs!H$151</f>
        <v>0</v>
      </c>
      <c r="I57" s="112">
        <f xml:space="preserve"> Inputs!I$151</f>
        <v>0</v>
      </c>
      <c r="J57" s="112">
        <f xml:space="preserve"> Inputs!J$151</f>
        <v>0</v>
      </c>
      <c r="K57" s="112">
        <f xml:space="preserve"> Inputs!K$151</f>
        <v>0</v>
      </c>
      <c r="L57" s="112">
        <f xml:space="preserve"> Inputs!L$151</f>
        <v>0</v>
      </c>
      <c r="M57" s="112">
        <f xml:space="preserve"> Inputs!M$151</f>
        <v>0</v>
      </c>
      <c r="N57" s="112">
        <f xml:space="preserve"> Inputs!N$151</f>
        <v>0</v>
      </c>
      <c r="O57" s="112">
        <f xml:space="preserve"> Inputs!O$151</f>
        <v>0</v>
      </c>
      <c r="P57" s="112">
        <f xml:space="preserve"> Inputs!P$151</f>
        <v>0</v>
      </c>
      <c r="Q57" s="112">
        <f xml:space="preserve"> Inputs!Q$151</f>
        <v>0</v>
      </c>
      <c r="R57" s="112">
        <f xml:space="preserve"> Inputs!R$151</f>
        <v>0</v>
      </c>
      <c r="S57" s="112">
        <f xml:space="preserve"> Inputs!S$151</f>
        <v>0</v>
      </c>
      <c r="T57" s="112">
        <f xml:space="preserve"> Inputs!T$151</f>
        <v>0</v>
      </c>
      <c r="U57" s="112">
        <f xml:space="preserve"> Inputs!U$151</f>
        <v>0</v>
      </c>
      <c r="V57" s="112">
        <f xml:space="preserve"> Inputs!V$151</f>
        <v>0</v>
      </c>
      <c r="W57" s="112">
        <f xml:space="preserve"> Inputs!W$151</f>
        <v>0</v>
      </c>
    </row>
    <row r="58" spans="1:23" s="149" customFormat="1" ht="12.75" hidden="1" customHeight="1" outlineLevel="1">
      <c r="A58" s="146"/>
      <c r="B58" s="146"/>
      <c r="C58" s="147"/>
      <c r="D58" s="148"/>
      <c r="E58" s="96" t="str">
        <f xml:space="preserve"> Inputs!E$117</f>
        <v>Revised K - WW-N+</v>
      </c>
      <c r="F58" s="96">
        <f xml:space="preserve"> Inputs!F$117</f>
        <v>0</v>
      </c>
      <c r="G58" s="96" t="str">
        <f xml:space="preserve"> Inputs!G$117</f>
        <v>#</v>
      </c>
      <c r="H58" s="96">
        <f xml:space="preserve"> Inputs!H$117</f>
        <v>-4.3599999999999994</v>
      </c>
      <c r="I58" s="96">
        <f xml:space="preserve"> Inputs!I$117</f>
        <v>0</v>
      </c>
      <c r="J58" s="96">
        <f xml:space="preserve"> Inputs!J$117</f>
        <v>0</v>
      </c>
      <c r="K58" s="96">
        <f xml:space="preserve"> Inputs!K$117</f>
        <v>0</v>
      </c>
      <c r="L58" s="96">
        <f xml:space="preserve"> Inputs!L$117</f>
        <v>0</v>
      </c>
      <c r="M58" s="96">
        <f xml:space="preserve"> Inputs!M$117</f>
        <v>0</v>
      </c>
      <c r="N58" s="96">
        <f xml:space="preserve"> Inputs!N$117</f>
        <v>0</v>
      </c>
      <c r="O58" s="96">
        <f xml:space="preserve"> Inputs!O$117</f>
        <v>0</v>
      </c>
      <c r="P58" s="96">
        <f xml:space="preserve"> Inputs!P$117</f>
        <v>0</v>
      </c>
      <c r="Q58" s="96">
        <f xml:space="preserve"> Inputs!Q$117</f>
        <v>-0.81000000000000016</v>
      </c>
      <c r="R58" s="96">
        <f xml:space="preserve"> Inputs!R$117</f>
        <v>-4.6100000000000003</v>
      </c>
      <c r="S58" s="96">
        <f xml:space="preserve"> Inputs!S$117</f>
        <v>-4.42</v>
      </c>
      <c r="T58" s="96">
        <f xml:space="preserve"> Inputs!T$117</f>
        <v>5.48</v>
      </c>
      <c r="U58" s="96">
        <f xml:space="preserve"> Inputs!U$117</f>
        <v>0</v>
      </c>
      <c r="V58" s="96">
        <f xml:space="preserve"> Inputs!V$117</f>
        <v>0</v>
      </c>
      <c r="W58" s="96">
        <f xml:space="preserve"> Inputs!W$117</f>
        <v>0</v>
      </c>
    </row>
    <row r="59" spans="1:23" s="72" customFormat="1" hidden="1" outlineLevel="1">
      <c r="C59" s="136"/>
      <c r="E59" s="38" t="s">
        <v>292</v>
      </c>
      <c r="F59" s="38"/>
      <c r="G59" s="38" t="s">
        <v>173</v>
      </c>
      <c r="H59" s="38"/>
      <c r="I59" s="39"/>
      <c r="J59" s="38">
        <f t="shared" ref="J59:W59" si="15" xml:space="preserve"> IF($F57 = 0, 0, J58 / $F57)</f>
        <v>0</v>
      </c>
      <c r="K59" s="38">
        <f t="shared" si="15"/>
        <v>0</v>
      </c>
      <c r="L59" s="38">
        <f t="shared" si="15"/>
        <v>0</v>
      </c>
      <c r="M59" s="38">
        <f t="shared" si="15"/>
        <v>0</v>
      </c>
      <c r="N59" s="38">
        <f t="shared" si="15"/>
        <v>0</v>
      </c>
      <c r="O59" s="38">
        <f t="shared" si="15"/>
        <v>0</v>
      </c>
      <c r="P59" s="38">
        <f t="shared" si="15"/>
        <v>0</v>
      </c>
      <c r="Q59" s="38">
        <f t="shared" si="15"/>
        <v>-8.1000000000000013E-3</v>
      </c>
      <c r="R59" s="38">
        <f t="shared" si="15"/>
        <v>-4.6100000000000002E-2</v>
      </c>
      <c r="S59" s="38">
        <f t="shared" si="15"/>
        <v>-4.4199999999999996E-2</v>
      </c>
      <c r="T59" s="38">
        <f t="shared" si="15"/>
        <v>5.4800000000000001E-2</v>
      </c>
      <c r="U59" s="38">
        <f t="shared" si="15"/>
        <v>0</v>
      </c>
      <c r="V59" s="38">
        <f t="shared" si="15"/>
        <v>0</v>
      </c>
      <c r="W59" s="38">
        <f t="shared" si="15"/>
        <v>0</v>
      </c>
    </row>
    <row r="60" spans="1:23" s="57" customFormat="1" hidden="1" outlineLevel="1">
      <c r="C60" s="110"/>
      <c r="I60" s="101"/>
      <c r="J60" s="4"/>
      <c r="K60" s="4"/>
      <c r="L60" s="4"/>
      <c r="M60" s="4"/>
      <c r="N60" s="4"/>
      <c r="O60" s="4"/>
      <c r="P60" s="4"/>
      <c r="Q60" s="4"/>
      <c r="R60" s="4"/>
      <c r="S60" s="4"/>
      <c r="T60" s="4"/>
      <c r="U60" s="4"/>
      <c r="V60" s="4"/>
      <c r="W60" s="4"/>
    </row>
    <row r="61" spans="1:23" s="149" customFormat="1" ht="12.75" hidden="1" customHeight="1" outlineLevel="1">
      <c r="A61" s="146"/>
      <c r="B61" s="146"/>
      <c r="C61" s="147"/>
      <c r="D61" s="148"/>
      <c r="E61" s="150" t="str">
        <f t="shared" ref="E61:W61" si="16" xml:space="preserve"> E$59</f>
        <v>K - WW-N+ percentage</v>
      </c>
      <c r="F61" s="150">
        <f t="shared" si="16"/>
        <v>0</v>
      </c>
      <c r="G61" s="150" t="str">
        <f t="shared" si="16"/>
        <v>%</v>
      </c>
      <c r="H61" s="150">
        <f t="shared" si="16"/>
        <v>0</v>
      </c>
      <c r="I61" s="150">
        <f t="shared" si="16"/>
        <v>0</v>
      </c>
      <c r="J61" s="150">
        <f t="shared" si="16"/>
        <v>0</v>
      </c>
      <c r="K61" s="150">
        <f t="shared" si="16"/>
        <v>0</v>
      </c>
      <c r="L61" s="150">
        <f t="shared" si="16"/>
        <v>0</v>
      </c>
      <c r="M61" s="150">
        <f t="shared" si="16"/>
        <v>0</v>
      </c>
      <c r="N61" s="150">
        <f t="shared" si="16"/>
        <v>0</v>
      </c>
      <c r="O61" s="150">
        <f t="shared" si="16"/>
        <v>0</v>
      </c>
      <c r="P61" s="150">
        <f t="shared" si="16"/>
        <v>0</v>
      </c>
      <c r="Q61" s="150">
        <f t="shared" si="16"/>
        <v>-8.1000000000000013E-3</v>
      </c>
      <c r="R61" s="150">
        <f t="shared" si="16"/>
        <v>-4.6100000000000002E-2</v>
      </c>
      <c r="S61" s="150">
        <f t="shared" si="16"/>
        <v>-4.4199999999999996E-2</v>
      </c>
      <c r="T61" s="150">
        <f t="shared" si="16"/>
        <v>5.4800000000000001E-2</v>
      </c>
      <c r="U61" s="150">
        <f t="shared" si="16"/>
        <v>0</v>
      </c>
      <c r="V61" s="150">
        <f t="shared" si="16"/>
        <v>0</v>
      </c>
      <c r="W61" s="150">
        <f t="shared" si="16"/>
        <v>0</v>
      </c>
    </row>
    <row r="62" spans="1:23" s="72" customFormat="1" hidden="1" outlineLevel="1">
      <c r="C62" s="136"/>
      <c r="E62" s="38" t="str">
        <f t="shared" ref="E62:W62" si="17" xml:space="preserve"> E$32</f>
        <v>Actual CPIH: Nov - Nov increase from base year</v>
      </c>
      <c r="F62" s="38">
        <f t="shared" si="17"/>
        <v>0</v>
      </c>
      <c r="G62" s="38" t="str">
        <f t="shared" si="17"/>
        <v>%</v>
      </c>
      <c r="H62" s="38">
        <f t="shared" si="17"/>
        <v>0</v>
      </c>
      <c r="I62" s="38">
        <f t="shared" si="17"/>
        <v>0</v>
      </c>
      <c r="J62" s="38">
        <f t="shared" si="17"/>
        <v>0</v>
      </c>
      <c r="K62" s="38">
        <f t="shared" si="17"/>
        <v>0</v>
      </c>
      <c r="L62" s="38">
        <f t="shared" si="17"/>
        <v>4.0040040040039138E-3</v>
      </c>
      <c r="M62" s="38">
        <f t="shared" si="17"/>
        <v>1.4955134596211339E-2</v>
      </c>
      <c r="N62" s="38">
        <f t="shared" si="17"/>
        <v>2.8487229862475427E-2</v>
      </c>
      <c r="O62" s="38">
        <f t="shared" si="17"/>
        <v>2.1012416427889313E-2</v>
      </c>
      <c r="P62" s="38">
        <f xml:space="preserve"> P$32</f>
        <v>1.4967259120673537E-2</v>
      </c>
      <c r="Q62" s="38">
        <f t="shared" si="17"/>
        <v>5.5299539170505785E-3</v>
      </c>
      <c r="R62" s="38">
        <f t="shared" si="17"/>
        <v>4.5829514207149424E-2</v>
      </c>
      <c r="S62" s="38">
        <f t="shared" si="17"/>
        <v>9.3777388255915861E-2</v>
      </c>
      <c r="T62" s="38">
        <f t="shared" si="17"/>
        <v>4.205929487179505E-2</v>
      </c>
      <c r="U62" s="38">
        <f t="shared" si="17"/>
        <v>3.1277954207003855E-2</v>
      </c>
      <c r="V62" s="38">
        <f t="shared" si="17"/>
        <v>2.0000000000000018E-2</v>
      </c>
      <c r="W62" s="38">
        <f t="shared" si="17"/>
        <v>2.0000000000000018E-2</v>
      </c>
    </row>
    <row r="63" spans="1:23" s="6" customFormat="1" ht="12.75" hidden="1" customHeight="1" outlineLevel="1">
      <c r="A63" s="64"/>
      <c r="B63" s="64"/>
      <c r="C63" s="62"/>
      <c r="D63" s="159"/>
      <c r="E63" s="98" t="str">
        <f xml:space="preserve"> Time!E$56</f>
        <v>Forecast period flag</v>
      </c>
      <c r="F63" s="98">
        <f xml:space="preserve"> Time!F$56</f>
        <v>0</v>
      </c>
      <c r="G63" s="98" t="str">
        <f xml:space="preserve"> Time!G$56</f>
        <v>flag</v>
      </c>
      <c r="H63" s="98">
        <f xml:space="preserve"> Time!H$56</f>
        <v>5</v>
      </c>
      <c r="I63" s="98">
        <f xml:space="preserve"> Time!I$56</f>
        <v>0</v>
      </c>
      <c r="J63" s="98">
        <f xml:space="preserve"> Time!J$56</f>
        <v>0</v>
      </c>
      <c r="K63" s="98">
        <f xml:space="preserve"> Time!K$56</f>
        <v>0</v>
      </c>
      <c r="L63" s="98">
        <f xml:space="preserve"> Time!L$56</f>
        <v>0</v>
      </c>
      <c r="M63" s="98">
        <f xml:space="preserve"> Time!M$56</f>
        <v>0</v>
      </c>
      <c r="N63" s="98">
        <f xml:space="preserve"> Time!N$56</f>
        <v>0</v>
      </c>
      <c r="O63" s="98">
        <f xml:space="preserve"> Time!O$56</f>
        <v>0</v>
      </c>
      <c r="P63" s="98">
        <f xml:space="preserve"> Time!P$56</f>
        <v>1</v>
      </c>
      <c r="Q63" s="98">
        <f xml:space="preserve"> Time!Q$56</f>
        <v>1</v>
      </c>
      <c r="R63" s="98">
        <f xml:space="preserve"> Time!R$56</f>
        <v>1</v>
      </c>
      <c r="S63" s="98">
        <f xml:space="preserve"> Time!S$56</f>
        <v>1</v>
      </c>
      <c r="T63" s="98">
        <f xml:space="preserve"> Time!T$56</f>
        <v>1</v>
      </c>
      <c r="U63" s="98">
        <f xml:space="preserve"> Time!U$56</f>
        <v>0</v>
      </c>
      <c r="V63" s="98">
        <f xml:space="preserve"> Time!V$56</f>
        <v>0</v>
      </c>
      <c r="W63" s="98">
        <f xml:space="preserve"> Time!W$56</f>
        <v>0</v>
      </c>
    </row>
    <row r="64" spans="1:23" s="97" customFormat="1" hidden="1" outlineLevel="1">
      <c r="A64" s="46"/>
      <c r="B64" s="46"/>
      <c r="C64" s="47"/>
      <c r="E64" s="97" t="s">
        <v>293</v>
      </c>
      <c r="G64" s="97" t="s">
        <v>287</v>
      </c>
      <c r="I64" s="55"/>
      <c r="J64" s="230">
        <f t="shared" ref="J64:W64" si="18" xml:space="preserve"> (1 + J61 + J62) * J63</f>
        <v>0</v>
      </c>
      <c r="K64" s="230">
        <f t="shared" si="18"/>
        <v>0</v>
      </c>
      <c r="L64" s="230">
        <f t="shared" si="18"/>
        <v>0</v>
      </c>
      <c r="M64" s="230">
        <f xml:space="preserve"> (1 + M61 + M62) * M63</f>
        <v>0</v>
      </c>
      <c r="N64" s="230">
        <f t="shared" si="18"/>
        <v>0</v>
      </c>
      <c r="O64" s="230">
        <f t="shared" si="18"/>
        <v>0</v>
      </c>
      <c r="P64" s="230">
        <f xml:space="preserve"> (1 + P61 + P62) * P63</f>
        <v>1.0149672591206735</v>
      </c>
      <c r="Q64" s="230">
        <f t="shared" si="18"/>
        <v>0.99742995391705058</v>
      </c>
      <c r="R64" s="230">
        <f t="shared" si="18"/>
        <v>0.99972951420714939</v>
      </c>
      <c r="S64" s="230">
        <f t="shared" si="18"/>
        <v>1.0495773882559158</v>
      </c>
      <c r="T64" s="230">
        <f t="shared" si="18"/>
        <v>1.096859294871795</v>
      </c>
      <c r="U64" s="230">
        <f t="shared" si="18"/>
        <v>0</v>
      </c>
      <c r="V64" s="230">
        <f t="shared" si="18"/>
        <v>0</v>
      </c>
      <c r="W64" s="230">
        <f t="shared" si="18"/>
        <v>0</v>
      </c>
    </row>
    <row r="65" spans="1:23" hidden="1" outlineLevel="1">
      <c r="J65" s="33"/>
      <c r="K65" s="33"/>
      <c r="L65" s="33"/>
      <c r="M65" s="33"/>
      <c r="N65" s="19"/>
      <c r="O65" s="19"/>
      <c r="P65" s="19"/>
      <c r="Q65" s="19"/>
      <c r="R65" s="19"/>
      <c r="S65" s="33"/>
      <c r="T65" s="33"/>
      <c r="U65" s="33"/>
      <c r="V65" s="33"/>
      <c r="W65" s="33"/>
    </row>
    <row r="66" spans="1:23" hidden="1" outlineLevel="1">
      <c r="B66" s="63" t="s">
        <v>294</v>
      </c>
      <c r="J66" s="33"/>
      <c r="K66" s="33"/>
      <c r="L66" s="33"/>
      <c r="M66" s="33"/>
      <c r="N66" s="19"/>
      <c r="O66" s="19"/>
      <c r="P66" s="19"/>
      <c r="Q66" s="19"/>
      <c r="R66" s="19"/>
      <c r="S66" s="33"/>
      <c r="T66" s="33"/>
      <c r="U66" s="33"/>
      <c r="V66" s="33"/>
      <c r="W66" s="33"/>
    </row>
    <row r="67" spans="1:23" s="94" customFormat="1" hidden="1" outlineLevel="1">
      <c r="C67" s="53"/>
      <c r="E67" s="112" t="str">
        <f xml:space="preserve"> Inputs!E$151</f>
        <v>Unit conversion to percentage</v>
      </c>
      <c r="F67" s="112">
        <f xml:space="preserve"> Inputs!F$151</f>
        <v>100</v>
      </c>
      <c r="G67" s="112" t="str">
        <f xml:space="preserve"> Inputs!G$151</f>
        <v>#</v>
      </c>
      <c r="H67" s="112">
        <f xml:space="preserve"> Inputs!H$151</f>
        <v>0</v>
      </c>
      <c r="I67" s="112">
        <f xml:space="preserve"> Inputs!I$151</f>
        <v>0</v>
      </c>
      <c r="J67" s="112">
        <f xml:space="preserve"> Inputs!J$151</f>
        <v>0</v>
      </c>
      <c r="K67" s="112">
        <f xml:space="preserve"> Inputs!K$151</f>
        <v>0</v>
      </c>
      <c r="L67" s="112">
        <f xml:space="preserve"> Inputs!L$151</f>
        <v>0</v>
      </c>
      <c r="M67" s="112">
        <f xml:space="preserve"> Inputs!M$151</f>
        <v>0</v>
      </c>
      <c r="N67" s="112">
        <f xml:space="preserve"> Inputs!N$151</f>
        <v>0</v>
      </c>
      <c r="O67" s="112">
        <f xml:space="preserve"> Inputs!O$151</f>
        <v>0</v>
      </c>
      <c r="P67" s="112">
        <f xml:space="preserve"> Inputs!P$151</f>
        <v>0</v>
      </c>
      <c r="Q67" s="112">
        <f xml:space="preserve"> Inputs!Q$151</f>
        <v>0</v>
      </c>
      <c r="R67" s="112">
        <f xml:space="preserve"> Inputs!R$151</f>
        <v>0</v>
      </c>
      <c r="S67" s="112">
        <f xml:space="preserve"> Inputs!S$151</f>
        <v>0</v>
      </c>
      <c r="T67" s="112">
        <f xml:space="preserve"> Inputs!T$151</f>
        <v>0</v>
      </c>
      <c r="U67" s="112">
        <f xml:space="preserve"> Inputs!U$151</f>
        <v>0</v>
      </c>
      <c r="V67" s="112">
        <f xml:space="preserve"> Inputs!V$151</f>
        <v>0</v>
      </c>
      <c r="W67" s="112">
        <f xml:space="preserve"> Inputs!W$151</f>
        <v>0</v>
      </c>
    </row>
    <row r="68" spans="1:23" s="149" customFormat="1" ht="12.75" hidden="1" customHeight="1" outlineLevel="1">
      <c r="A68" s="146"/>
      <c r="B68" s="146"/>
      <c r="C68" s="147"/>
      <c r="D68" s="148"/>
      <c r="E68" s="96" t="str">
        <f xml:space="preserve"> Inputs!E$135</f>
        <v>Revised K - WW-TTT</v>
      </c>
      <c r="F68" s="96">
        <f xml:space="preserve"> Inputs!F$135</f>
        <v>0</v>
      </c>
      <c r="G68" s="96" t="str">
        <f xml:space="preserve"> Inputs!G$135</f>
        <v>#</v>
      </c>
      <c r="H68" s="96">
        <f xml:space="preserve"> Inputs!H$135</f>
        <v>-40.72</v>
      </c>
      <c r="I68" s="96">
        <f xml:space="preserve"> Inputs!I$135</f>
        <v>0</v>
      </c>
      <c r="J68" s="96">
        <f xml:space="preserve"> Inputs!J$135</f>
        <v>0</v>
      </c>
      <c r="K68" s="96">
        <f xml:space="preserve"> Inputs!K$135</f>
        <v>0</v>
      </c>
      <c r="L68" s="96">
        <f xml:space="preserve"> Inputs!L$135</f>
        <v>0</v>
      </c>
      <c r="M68" s="96">
        <f xml:space="preserve"> Inputs!M$135</f>
        <v>0</v>
      </c>
      <c r="N68" s="96">
        <f xml:space="preserve"> Inputs!N$135</f>
        <v>0</v>
      </c>
      <c r="O68" s="96">
        <f xml:space="preserve"> Inputs!O$135</f>
        <v>0</v>
      </c>
      <c r="P68" s="96">
        <f xml:space="preserve"> Inputs!P$135</f>
        <v>-19.73</v>
      </c>
      <c r="Q68" s="96">
        <f xml:space="preserve"> Inputs!Q$135</f>
        <v>4.6399999999999997</v>
      </c>
      <c r="R68" s="96">
        <f xml:space="preserve"> Inputs!R$135</f>
        <v>2.78</v>
      </c>
      <c r="S68" s="96">
        <f xml:space="preserve"> Inputs!S$135</f>
        <v>-11.51</v>
      </c>
      <c r="T68" s="96">
        <f xml:space="preserve"> Inputs!T$135</f>
        <v>-16.900000000000002</v>
      </c>
      <c r="U68" s="96">
        <f xml:space="preserve"> Inputs!U$135</f>
        <v>0</v>
      </c>
      <c r="V68" s="96">
        <f xml:space="preserve"> Inputs!V$135</f>
        <v>0</v>
      </c>
      <c r="W68" s="96">
        <f xml:space="preserve"> Inputs!W$135</f>
        <v>0</v>
      </c>
    </row>
    <row r="69" spans="1:23" s="72" customFormat="1" hidden="1" outlineLevel="1">
      <c r="C69" s="136"/>
      <c r="E69" s="38" t="s">
        <v>295</v>
      </c>
      <c r="F69" s="38"/>
      <c r="G69" s="38" t="s">
        <v>173</v>
      </c>
      <c r="H69" s="38"/>
      <c r="I69" s="39"/>
      <c r="J69" s="38">
        <f t="shared" ref="J69:W69" si="19" xml:space="preserve"> IF($F67 = 0, 0, J68 / $F67)</f>
        <v>0</v>
      </c>
      <c r="K69" s="38">
        <f t="shared" si="19"/>
        <v>0</v>
      </c>
      <c r="L69" s="38">
        <f t="shared" si="19"/>
        <v>0</v>
      </c>
      <c r="M69" s="38">
        <f t="shared" si="19"/>
        <v>0</v>
      </c>
      <c r="N69" s="38">
        <f t="shared" si="19"/>
        <v>0</v>
      </c>
      <c r="O69" s="38">
        <f t="shared" si="19"/>
        <v>0</v>
      </c>
      <c r="P69" s="38">
        <f t="shared" si="19"/>
        <v>-0.1973</v>
      </c>
      <c r="Q69" s="38">
        <f t="shared" si="19"/>
        <v>4.6399999999999997E-2</v>
      </c>
      <c r="R69" s="38">
        <f t="shared" si="19"/>
        <v>2.7799999999999998E-2</v>
      </c>
      <c r="S69" s="38">
        <f t="shared" si="19"/>
        <v>-0.11509999999999999</v>
      </c>
      <c r="T69" s="38">
        <f t="shared" si="19"/>
        <v>-0.16900000000000001</v>
      </c>
      <c r="U69" s="38">
        <f t="shared" si="19"/>
        <v>0</v>
      </c>
      <c r="V69" s="38">
        <f t="shared" si="19"/>
        <v>0</v>
      </c>
      <c r="W69" s="38">
        <f t="shared" si="19"/>
        <v>0</v>
      </c>
    </row>
    <row r="70" spans="1:23" s="57" customFormat="1" hidden="1" outlineLevel="1">
      <c r="C70" s="110"/>
      <c r="I70" s="101"/>
      <c r="J70" s="4"/>
      <c r="K70" s="4"/>
      <c r="L70" s="4"/>
      <c r="M70" s="4"/>
      <c r="N70" s="4"/>
      <c r="O70" s="4"/>
      <c r="P70" s="4"/>
      <c r="Q70" s="4"/>
      <c r="R70" s="4"/>
      <c r="S70" s="4"/>
      <c r="T70" s="4"/>
      <c r="U70" s="4"/>
      <c r="V70" s="4"/>
      <c r="W70" s="4"/>
    </row>
    <row r="71" spans="1:23" s="149" customFormat="1" ht="12.75" hidden="1" customHeight="1" outlineLevel="1">
      <c r="A71" s="146"/>
      <c r="B71" s="146"/>
      <c r="C71" s="147"/>
      <c r="D71" s="148"/>
      <c r="E71" s="150" t="str">
        <f t="shared" ref="E71:W71" si="20" xml:space="preserve"> E$69</f>
        <v>K - WW-TTT percentage</v>
      </c>
      <c r="F71" s="150">
        <f t="shared" si="20"/>
        <v>0</v>
      </c>
      <c r="G71" s="150" t="str">
        <f t="shared" si="20"/>
        <v>%</v>
      </c>
      <c r="H71" s="150">
        <f t="shared" si="20"/>
        <v>0</v>
      </c>
      <c r="I71" s="150">
        <f t="shared" si="20"/>
        <v>0</v>
      </c>
      <c r="J71" s="150">
        <f t="shared" si="20"/>
        <v>0</v>
      </c>
      <c r="K71" s="150">
        <f t="shared" si="20"/>
        <v>0</v>
      </c>
      <c r="L71" s="150">
        <f t="shared" si="20"/>
        <v>0</v>
      </c>
      <c r="M71" s="150">
        <f t="shared" si="20"/>
        <v>0</v>
      </c>
      <c r="N71" s="150">
        <f t="shared" si="20"/>
        <v>0</v>
      </c>
      <c r="O71" s="150">
        <f t="shared" si="20"/>
        <v>0</v>
      </c>
      <c r="P71" s="150">
        <f t="shared" si="20"/>
        <v>-0.1973</v>
      </c>
      <c r="Q71" s="150">
        <f t="shared" si="20"/>
        <v>4.6399999999999997E-2</v>
      </c>
      <c r="R71" s="150">
        <f t="shared" si="20"/>
        <v>2.7799999999999998E-2</v>
      </c>
      <c r="S71" s="150">
        <f t="shared" si="20"/>
        <v>-0.11509999999999999</v>
      </c>
      <c r="T71" s="150">
        <f t="shared" si="20"/>
        <v>-0.16900000000000001</v>
      </c>
      <c r="U71" s="150">
        <f t="shared" si="20"/>
        <v>0</v>
      </c>
      <c r="V71" s="150">
        <f t="shared" si="20"/>
        <v>0</v>
      </c>
      <c r="W71" s="150">
        <f t="shared" si="20"/>
        <v>0</v>
      </c>
    </row>
    <row r="72" spans="1:23" s="72" customFormat="1" hidden="1" outlineLevel="1">
      <c r="C72" s="136"/>
      <c r="E72" s="38" t="str">
        <f t="shared" ref="E72:W72" si="21" xml:space="preserve"> E$32</f>
        <v>Actual CPIH: Nov - Nov increase from base year</v>
      </c>
      <c r="F72" s="38">
        <f t="shared" si="21"/>
        <v>0</v>
      </c>
      <c r="G72" s="38" t="str">
        <f t="shared" si="21"/>
        <v>%</v>
      </c>
      <c r="H72" s="38">
        <f t="shared" si="21"/>
        <v>0</v>
      </c>
      <c r="I72" s="38">
        <f t="shared" si="21"/>
        <v>0</v>
      </c>
      <c r="J72" s="38">
        <f t="shared" si="21"/>
        <v>0</v>
      </c>
      <c r="K72" s="38">
        <f t="shared" si="21"/>
        <v>0</v>
      </c>
      <c r="L72" s="38">
        <f t="shared" si="21"/>
        <v>4.0040040040039138E-3</v>
      </c>
      <c r="M72" s="38">
        <f t="shared" si="21"/>
        <v>1.4955134596211339E-2</v>
      </c>
      <c r="N72" s="38">
        <f t="shared" si="21"/>
        <v>2.8487229862475427E-2</v>
      </c>
      <c r="O72" s="38">
        <f t="shared" si="21"/>
        <v>2.1012416427889313E-2</v>
      </c>
      <c r="P72" s="38">
        <f xml:space="preserve"> P$32</f>
        <v>1.4967259120673537E-2</v>
      </c>
      <c r="Q72" s="38">
        <f t="shared" si="21"/>
        <v>5.5299539170505785E-3</v>
      </c>
      <c r="R72" s="38">
        <f t="shared" si="21"/>
        <v>4.5829514207149424E-2</v>
      </c>
      <c r="S72" s="38">
        <f t="shared" si="21"/>
        <v>9.3777388255915861E-2</v>
      </c>
      <c r="T72" s="38">
        <f t="shared" si="21"/>
        <v>4.205929487179505E-2</v>
      </c>
      <c r="U72" s="38">
        <f t="shared" si="21"/>
        <v>3.1277954207003855E-2</v>
      </c>
      <c r="V72" s="38">
        <f t="shared" si="21"/>
        <v>2.0000000000000018E-2</v>
      </c>
      <c r="W72" s="38">
        <f t="shared" si="21"/>
        <v>2.0000000000000018E-2</v>
      </c>
    </row>
    <row r="73" spans="1:23" s="6" customFormat="1" ht="12.75" hidden="1" customHeight="1" outlineLevel="1">
      <c r="A73" s="64"/>
      <c r="B73" s="64"/>
      <c r="C73" s="62"/>
      <c r="D73" s="159"/>
      <c r="E73" s="98" t="str">
        <f xml:space="preserve"> Time!E$56</f>
        <v>Forecast period flag</v>
      </c>
      <c r="F73" s="98">
        <f xml:space="preserve"> Time!F$56</f>
        <v>0</v>
      </c>
      <c r="G73" s="98" t="str">
        <f xml:space="preserve"> Time!G$56</f>
        <v>flag</v>
      </c>
      <c r="H73" s="98">
        <f xml:space="preserve"> Time!H$56</f>
        <v>5</v>
      </c>
      <c r="I73" s="98">
        <f xml:space="preserve"> Time!I$56</f>
        <v>0</v>
      </c>
      <c r="J73" s="98">
        <f xml:space="preserve"> Time!J$56</f>
        <v>0</v>
      </c>
      <c r="K73" s="98">
        <f xml:space="preserve"> Time!K$56</f>
        <v>0</v>
      </c>
      <c r="L73" s="98">
        <f xml:space="preserve"> Time!L$56</f>
        <v>0</v>
      </c>
      <c r="M73" s="98">
        <f xml:space="preserve"> Time!M$56</f>
        <v>0</v>
      </c>
      <c r="N73" s="98">
        <f xml:space="preserve"> Time!N$56</f>
        <v>0</v>
      </c>
      <c r="O73" s="98">
        <f xml:space="preserve"> Time!O$56</f>
        <v>0</v>
      </c>
      <c r="P73" s="98">
        <f xml:space="preserve"> Time!P$56</f>
        <v>1</v>
      </c>
      <c r="Q73" s="98">
        <f xml:space="preserve"> Time!Q$56</f>
        <v>1</v>
      </c>
      <c r="R73" s="98">
        <f xml:space="preserve"> Time!R$56</f>
        <v>1</v>
      </c>
      <c r="S73" s="98">
        <f xml:space="preserve"> Time!S$56</f>
        <v>1</v>
      </c>
      <c r="T73" s="98">
        <f xml:space="preserve"> Time!T$56</f>
        <v>1</v>
      </c>
      <c r="U73" s="98">
        <f xml:space="preserve"> Time!U$56</f>
        <v>0</v>
      </c>
      <c r="V73" s="98">
        <f xml:space="preserve"> Time!V$56</f>
        <v>0</v>
      </c>
      <c r="W73" s="98">
        <f xml:space="preserve"> Time!W$56</f>
        <v>0</v>
      </c>
    </row>
    <row r="74" spans="1:23" s="97" customFormat="1" hidden="1" outlineLevel="1">
      <c r="A74" s="46"/>
      <c r="B74" s="46"/>
      <c r="C74" s="47"/>
      <c r="E74" s="97" t="s">
        <v>296</v>
      </c>
      <c r="G74" s="97" t="s">
        <v>287</v>
      </c>
      <c r="I74" s="55"/>
      <c r="J74" s="230">
        <f t="shared" ref="J74:P74" si="22" xml:space="preserve"> (1 + J71 + J72) * J73</f>
        <v>0</v>
      </c>
      <c r="K74" s="230">
        <f t="shared" si="22"/>
        <v>0</v>
      </c>
      <c r="L74" s="230">
        <f t="shared" si="22"/>
        <v>0</v>
      </c>
      <c r="M74" s="230">
        <f t="shared" si="22"/>
        <v>0</v>
      </c>
      <c r="N74" s="230">
        <f t="shared" si="22"/>
        <v>0</v>
      </c>
      <c r="O74" s="230">
        <f t="shared" si="22"/>
        <v>0</v>
      </c>
      <c r="P74" s="230">
        <f t="shared" si="22"/>
        <v>0.81766725912067351</v>
      </c>
      <c r="Q74" s="230">
        <f t="shared" ref="Q74:W74" si="23" xml:space="preserve"> (1 + Q71 + Q72) * Q73</f>
        <v>1.0519299539170506</v>
      </c>
      <c r="R74" s="230">
        <f t="shared" si="23"/>
        <v>1.0736295142071495</v>
      </c>
      <c r="S74" s="230">
        <f t="shared" si="23"/>
        <v>0.97867738825591588</v>
      </c>
      <c r="T74" s="230">
        <f t="shared" si="23"/>
        <v>0.87305929487179501</v>
      </c>
      <c r="U74" s="230">
        <f t="shared" si="23"/>
        <v>0</v>
      </c>
      <c r="V74" s="230">
        <f t="shared" si="23"/>
        <v>0</v>
      </c>
      <c r="W74" s="230">
        <f t="shared" si="23"/>
        <v>0</v>
      </c>
    </row>
    <row r="75" spans="1:23" hidden="1" outlineLevel="1">
      <c r="J75" s="33"/>
      <c r="K75" s="33"/>
      <c r="L75" s="33"/>
      <c r="M75" s="33"/>
      <c r="N75" s="19"/>
      <c r="O75" s="19"/>
      <c r="P75" s="19"/>
      <c r="Q75" s="19"/>
      <c r="R75" s="19"/>
      <c r="S75" s="33"/>
      <c r="T75" s="33"/>
      <c r="U75" s="33"/>
      <c r="V75" s="33"/>
      <c r="W75" s="33"/>
    </row>
    <row r="76" spans="1:23" s="188" customFormat="1">
      <c r="A76" s="188" t="s">
        <v>232</v>
      </c>
      <c r="C76" s="189"/>
      <c r="D76" s="190"/>
      <c r="E76" s="189"/>
      <c r="F76" s="191"/>
    </row>
    <row r="77" spans="1:23"/>
    <row r="78" spans="1:23"/>
    <row r="79" spans="1:23"/>
    <row r="80" spans="1:23"/>
    <row r="81"/>
    <row r="82"/>
    <row r="83"/>
  </sheetData>
  <conditionalFormatting sqref="F2">
    <cfRule type="cellIs" dxfId="76" priority="3" stopIfTrue="1" operator="notEqual">
      <formula>0</formula>
    </cfRule>
    <cfRule type="cellIs" dxfId="75" priority="4" stopIfTrue="1" operator="equal">
      <formula>""</formula>
    </cfRule>
  </conditionalFormatting>
  <conditionalFormatting sqref="F3">
    <cfRule type="cellIs" dxfId="74" priority="1" stopIfTrue="1" operator="notEqual">
      <formula>0</formula>
    </cfRule>
    <cfRule type="cellIs" dxfId="73" priority="2" stopIfTrue="1" operator="equal">
      <formula>""</formula>
    </cfRule>
  </conditionalFormatting>
  <pageMargins left="0.7" right="0.7" top="0.75" bottom="0.75" header="0.3" footer="0.3"/>
  <pageSetup paperSize="9" scale="50"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14" stopIfTrue="1" operator="equal" id="{52FAFFA0-308A-4500-90B0-8CD29E223FEB}">
            <xm:f xml:space="preserve"> Inputs!$F$20</xm:f>
            <x14:dxf>
              <fill>
                <patternFill>
                  <bgColor indexed="44"/>
                </patternFill>
              </fill>
            </x14:dxf>
          </x14:cfRule>
          <x14:cfRule type="cellIs" priority="15" stopIfTrue="1" operator="equal" id="{BFDC9DC7-D521-4A32-97ED-5FD8A7A420F3}">
            <xm:f>Inputs!$F$19</xm:f>
            <x14:dxf>
              <fill>
                <patternFill>
                  <bgColor indexed="47"/>
                </patternFill>
              </fill>
            </x14:dxf>
          </x14:cfRule>
          <xm:sqref>J3:W3</xm:sqref>
        </x14:conditionalFormatting>
        <x14:conditionalFormatting xmlns:xm="http://schemas.microsoft.com/office/excel/2006/main">
          <x14:cfRule type="cellIs" priority="5" operator="equal" id="{AF4D6761-9042-49F7-BC30-E38B92B1A931}">
            <xm:f>Inputs!$F$21</xm:f>
            <x14:dxf>
              <fill>
                <patternFill>
                  <bgColor rgb="FFD9D9D9"/>
                </patternFill>
              </fill>
            </x14:dxf>
          </x14:cfRule>
          <xm:sqref>K3:W3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outlinePr applyStyles="1" summaryBelow="0" summaryRight="0"/>
    <pageSetUpPr fitToPage="1"/>
  </sheetPr>
  <dimension ref="A1:W481"/>
  <sheetViews>
    <sheetView showGridLines="0" zoomScale="90" zoomScaleNormal="90" workbookViewId="0">
      <pane xSplit="9" ySplit="5" topLeftCell="J195" activePane="bottomRight" state="frozen"/>
      <selection pane="topRight" activeCell="J1" sqref="J1"/>
      <selection pane="bottomLeft" activeCell="A6" sqref="A6"/>
      <selection pane="bottomRight"/>
    </sheetView>
  </sheetViews>
  <sheetFormatPr defaultColWidth="0" defaultRowHeight="0" customHeight="1" zeroHeight="1" outlineLevelRow="1"/>
  <cols>
    <col min="1" max="1" width="1.44140625" style="64" customWidth="1"/>
    <col min="2" max="2" width="1.44140625" style="63" customWidth="1"/>
    <col min="3" max="3" width="1.44140625" style="62" customWidth="1"/>
    <col min="4" max="4" width="1.44140625" style="61" customWidth="1"/>
    <col min="5" max="5" width="85.5546875" style="57" bestFit="1" customWidth="1"/>
    <col min="6" max="6" width="12.5546875" style="57" customWidth="1"/>
    <col min="7" max="7" width="11.5546875" style="57" customWidth="1"/>
    <col min="8" max="8" width="15.5546875" style="57" customWidth="1"/>
    <col min="9" max="9" width="2.5546875" style="57" customWidth="1"/>
    <col min="10" max="21" width="12.5546875" style="57" customWidth="1"/>
    <col min="22" max="23" width="12.5546875" customWidth="1"/>
    <col min="24" max="16384" width="8.6640625" hidden="1"/>
  </cols>
  <sheetData>
    <row r="1" spans="1:23" ht="28.2">
      <c r="A1" s="213" t="str">
        <f ca="1" xml:space="preserve"> RIGHT(CELL("filename", $A$1), LEN(CELL("filename", $A$1)) - SEARCH("]", CELL("filename", $A$1)))</f>
        <v>Wholesale Water</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Check!F$24</f>
        <v>3</v>
      </c>
      <c r="G3" s="82" t="str">
        <f xml:space="preserve"> Check!G$24</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ht="12.75" customHeight="1">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ht="12.75" customHeight="1">
      <c r="A6" s="90"/>
      <c r="B6" s="90"/>
      <c r="C6" s="91"/>
      <c r="D6" s="161"/>
      <c r="E6" s="109"/>
      <c r="F6" s="56"/>
      <c r="G6" s="111"/>
      <c r="H6" s="56"/>
      <c r="I6" s="109"/>
      <c r="J6" s="109"/>
      <c r="K6" s="109"/>
      <c r="L6" s="109"/>
      <c r="M6" s="109"/>
      <c r="N6" s="109"/>
      <c r="O6" s="109"/>
      <c r="P6" s="109"/>
      <c r="Q6" s="109"/>
      <c r="R6" s="109"/>
      <c r="S6" s="109"/>
      <c r="T6" s="109"/>
      <c r="U6" s="109"/>
    </row>
    <row r="7" spans="1:23" ht="12.75" customHeight="1">
      <c r="A7" s="115" t="s">
        <v>297</v>
      </c>
      <c r="B7" s="115"/>
      <c r="C7" s="114"/>
      <c r="D7" s="115"/>
      <c r="E7" s="115"/>
      <c r="F7" s="115"/>
      <c r="G7" s="115"/>
      <c r="H7" s="115"/>
      <c r="I7" s="115"/>
      <c r="J7" s="115"/>
      <c r="K7" s="115"/>
      <c r="L7" s="115"/>
      <c r="M7" s="115"/>
      <c r="N7" s="115"/>
      <c r="O7" s="115"/>
      <c r="P7" s="115"/>
      <c r="Q7" s="115"/>
      <c r="R7" s="115"/>
      <c r="S7" s="115"/>
      <c r="T7" s="115"/>
      <c r="U7" s="115"/>
      <c r="V7" s="115"/>
      <c r="W7" s="115"/>
    </row>
    <row r="8" spans="1:23" s="6" customFormat="1" ht="12.75" customHeight="1">
      <c r="A8" s="90"/>
      <c r="B8" s="90"/>
      <c r="C8" s="58"/>
      <c r="D8" s="90"/>
      <c r="E8" s="90"/>
      <c r="F8" s="90"/>
      <c r="G8" s="90"/>
      <c r="H8" s="90"/>
      <c r="I8" s="90"/>
      <c r="J8" s="90"/>
      <c r="K8" s="90"/>
      <c r="L8" s="90"/>
      <c r="M8" s="90"/>
      <c r="N8" s="90"/>
      <c r="O8" s="90"/>
      <c r="P8" s="90"/>
      <c r="Q8" s="90"/>
      <c r="R8" s="90"/>
      <c r="S8" s="90"/>
      <c r="T8" s="90"/>
      <c r="U8" s="90"/>
      <c r="V8" s="90"/>
      <c r="W8" s="90"/>
    </row>
    <row r="9" spans="1:23" s="122" customFormat="1" ht="12.75" customHeight="1" outlineLevel="1">
      <c r="A9" s="66"/>
      <c r="B9" s="66" t="s">
        <v>298</v>
      </c>
      <c r="C9" s="73"/>
      <c r="D9" s="71"/>
      <c r="E9" s="74"/>
      <c r="F9" s="74"/>
      <c r="G9" s="74"/>
      <c r="H9" s="74"/>
      <c r="I9" s="74"/>
      <c r="J9" s="74"/>
      <c r="K9" s="74"/>
      <c r="L9" s="74"/>
      <c r="M9" s="74"/>
      <c r="N9" s="74"/>
      <c r="O9" s="74"/>
      <c r="P9" s="74"/>
      <c r="Q9" s="74"/>
      <c r="R9" s="74"/>
      <c r="S9" s="74"/>
      <c r="T9" s="74"/>
      <c r="U9" s="74"/>
      <c r="V9" s="74"/>
      <c r="W9" s="74"/>
    </row>
    <row r="10" spans="1:23" s="122" customFormat="1" ht="12.75" customHeight="1" outlineLevel="1">
      <c r="A10" s="66"/>
      <c r="B10" s="66"/>
      <c r="C10" s="73"/>
      <c r="D10" s="71"/>
      <c r="E10" s="74"/>
      <c r="F10" s="74"/>
      <c r="G10" s="74"/>
      <c r="H10" s="74"/>
      <c r="I10" s="74"/>
      <c r="J10" s="74"/>
      <c r="K10" s="74"/>
      <c r="L10" s="74"/>
      <c r="M10" s="74"/>
      <c r="N10" s="74"/>
      <c r="O10" s="74"/>
      <c r="P10" s="74"/>
      <c r="Q10" s="74"/>
      <c r="R10" s="74"/>
      <c r="S10" s="74"/>
      <c r="T10" s="74"/>
      <c r="U10" s="74"/>
      <c r="V10" s="74"/>
      <c r="W10" s="74"/>
    </row>
    <row r="11" spans="1:23" s="122" customFormat="1" ht="12.75" customHeight="1" outlineLevel="1">
      <c r="A11" s="66"/>
      <c r="B11" s="66"/>
      <c r="C11" s="73"/>
      <c r="D11" s="71"/>
      <c r="E11" s="96" t="str">
        <f>Inputs!E$75</f>
        <v>Allowed revenue - Water Res (base year 2019/2020)</v>
      </c>
      <c r="F11" s="96">
        <f>Inputs!F$75</f>
        <v>89.768007721145906</v>
      </c>
      <c r="G11" s="96" t="str">
        <f>Inputs!G$75</f>
        <v>£m</v>
      </c>
      <c r="H11" s="96">
        <f>Inputs!H$75</f>
        <v>0</v>
      </c>
      <c r="I11" s="96">
        <f>Inputs!I$75</f>
        <v>0</v>
      </c>
      <c r="J11" s="96">
        <f>Inputs!J$75</f>
        <v>0</v>
      </c>
      <c r="K11" s="96">
        <f>Inputs!K$75</f>
        <v>0</v>
      </c>
      <c r="L11" s="96">
        <f>Inputs!L$75</f>
        <v>0</v>
      </c>
      <c r="M11" s="96">
        <f>Inputs!M$75</f>
        <v>0</v>
      </c>
      <c r="N11" s="96">
        <f>Inputs!N$75</f>
        <v>0</v>
      </c>
      <c r="O11" s="96">
        <f>Inputs!O$75</f>
        <v>0</v>
      </c>
      <c r="P11" s="96">
        <f>Inputs!P$75</f>
        <v>0</v>
      </c>
      <c r="Q11" s="96">
        <f>Inputs!Q$75</f>
        <v>0</v>
      </c>
      <c r="R11" s="96">
        <f>Inputs!R$75</f>
        <v>0</v>
      </c>
      <c r="S11" s="96">
        <f>Inputs!S$75</f>
        <v>0</v>
      </c>
      <c r="T11" s="96">
        <f>Inputs!T$75</f>
        <v>0</v>
      </c>
      <c r="U11" s="96">
        <f>Inputs!U$75</f>
        <v>0</v>
      </c>
      <c r="V11" s="96">
        <f>Inputs!V$75</f>
        <v>0</v>
      </c>
      <c r="W11" s="96">
        <f>Inputs!W$75</f>
        <v>0</v>
      </c>
    </row>
    <row r="12" spans="1:23" s="124" customFormat="1" ht="12.75" customHeight="1" outlineLevel="1">
      <c r="A12" s="116"/>
      <c r="B12" s="116"/>
      <c r="C12" s="117"/>
      <c r="D12" s="85"/>
      <c r="E12" s="81" t="str">
        <f xml:space="preserve"> 'Indices and K factor'!E$44</f>
        <v>Revenue indexation - Water Res</v>
      </c>
      <c r="F12" s="81">
        <f xml:space="preserve"> 'Indices and K factor'!F$44</f>
        <v>0</v>
      </c>
      <c r="G12" s="81" t="str">
        <f xml:space="preserve"> 'Indices and K factor'!G$44</f>
        <v>factor</v>
      </c>
      <c r="H12" s="81">
        <f xml:space="preserve"> 'Indices and K factor'!H$44</f>
        <v>0</v>
      </c>
      <c r="I12" s="81">
        <f xml:space="preserve"> 'Indices and K factor'!I$44</f>
        <v>0</v>
      </c>
      <c r="J12" s="228">
        <f xml:space="preserve"> 'Indices and K factor'!J$44</f>
        <v>0</v>
      </c>
      <c r="K12" s="228">
        <f xml:space="preserve"> 'Indices and K factor'!K$44</f>
        <v>0</v>
      </c>
      <c r="L12" s="228">
        <f xml:space="preserve"> 'Indices and K factor'!L$44</f>
        <v>0</v>
      </c>
      <c r="M12" s="228">
        <f xml:space="preserve"> 'Indices and K factor'!M$44</f>
        <v>0</v>
      </c>
      <c r="N12" s="228">
        <f xml:space="preserve"> 'Indices and K factor'!N$44</f>
        <v>0</v>
      </c>
      <c r="O12" s="228">
        <f xml:space="preserve"> 'Indices and K factor'!O$44</f>
        <v>0</v>
      </c>
      <c r="P12" s="228">
        <f xml:space="preserve"> 'Indices and K factor'!P$44</f>
        <v>1.0149672591206735</v>
      </c>
      <c r="Q12" s="228">
        <f xml:space="preserve"> 'Indices and K factor'!Q$44</f>
        <v>1.0445299539170505</v>
      </c>
      <c r="R12" s="228">
        <f xml:space="preserve"> 'Indices and K factor'!R$44</f>
        <v>1.0356295142071494</v>
      </c>
      <c r="S12" s="228">
        <f xml:space="preserve"> 'Indices and K factor'!S$44</f>
        <v>1.0992773882559159</v>
      </c>
      <c r="T12" s="228">
        <f xml:space="preserve"> 'Indices and K factor'!T$44</f>
        <v>1.0735592948717951</v>
      </c>
      <c r="U12" s="228">
        <f xml:space="preserve"> 'Indices and K factor'!U$44</f>
        <v>0</v>
      </c>
      <c r="V12" s="228">
        <f xml:space="preserve"> 'Indices and K factor'!V$44</f>
        <v>0</v>
      </c>
      <c r="W12" s="228">
        <f xml:space="preserve"> 'Indices and K factor'!W$44</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ht="12.75" customHeight="1" outlineLevel="1">
      <c r="A14" s="305"/>
      <c r="B14" s="305"/>
      <c r="C14" s="306"/>
      <c r="E14" s="205" t="s">
        <v>299</v>
      </c>
      <c r="F14" s="307"/>
      <c r="G14" s="307" t="s">
        <v>97</v>
      </c>
      <c r="H14" s="210">
        <f xml:space="preserve"> SUM(J14:W14)</f>
        <v>509.49838864009251</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91.111588753454924</v>
      </c>
      <c r="Q14" s="210">
        <f t="shared" si="0"/>
        <v>95.168783601955525</v>
      </c>
      <c r="R14" s="210">
        <f t="shared" si="0"/>
        <v>98.559601129378535</v>
      </c>
      <c r="S14" s="210">
        <f t="shared" si="0"/>
        <v>108.34434091704806</v>
      </c>
      <c r="T14" s="210">
        <f t="shared" si="0"/>
        <v>116.3140742382555</v>
      </c>
      <c r="U14" s="210">
        <f t="shared" si="0"/>
        <v>0</v>
      </c>
      <c r="V14" s="210">
        <f t="shared" si="0"/>
        <v>0</v>
      </c>
      <c r="W14" s="210">
        <f t="shared" si="0"/>
        <v>0</v>
      </c>
    </row>
    <row r="15" spans="1:23" ht="12.75" customHeight="1" outlineLevel="1">
      <c r="A15" s="63"/>
      <c r="C15" s="110"/>
      <c r="E15" s="113"/>
      <c r="V15" s="57"/>
      <c r="W15" s="57"/>
    </row>
    <row r="16" spans="1:23" s="123" customFormat="1" ht="12.75" customHeight="1" outlineLevel="1">
      <c r="A16" s="166"/>
      <c r="B16" s="166" t="s">
        <v>300</v>
      </c>
      <c r="C16" s="167"/>
      <c r="D16" s="75"/>
      <c r="E16" s="129"/>
      <c r="F16" s="129"/>
      <c r="G16" s="129"/>
      <c r="H16" s="129"/>
      <c r="I16" s="129"/>
      <c r="J16" s="129"/>
      <c r="K16" s="129"/>
      <c r="L16" s="129"/>
      <c r="M16" s="129"/>
      <c r="N16" s="129"/>
      <c r="O16" s="129"/>
      <c r="P16" s="129"/>
      <c r="Q16" s="129"/>
      <c r="R16" s="129"/>
      <c r="S16" s="129"/>
      <c r="T16" s="129"/>
      <c r="U16" s="129"/>
      <c r="V16" s="129"/>
      <c r="W16" s="129"/>
    </row>
    <row r="17" spans="1:23" s="123" customFormat="1" ht="12.75" customHeight="1" outlineLevel="1">
      <c r="A17" s="166"/>
      <c r="B17" s="166"/>
      <c r="C17" s="167"/>
      <c r="D17" s="75"/>
      <c r="E17" s="129"/>
      <c r="F17" s="129"/>
      <c r="G17" s="129"/>
      <c r="H17" s="129"/>
      <c r="I17" s="129"/>
      <c r="J17" s="129"/>
      <c r="K17" s="129"/>
      <c r="L17" s="129"/>
      <c r="M17" s="129"/>
      <c r="N17" s="129"/>
      <c r="O17" s="129"/>
      <c r="P17" s="129"/>
      <c r="Q17" s="129"/>
      <c r="R17" s="129"/>
      <c r="S17" s="129"/>
      <c r="T17" s="129"/>
      <c r="U17" s="129"/>
      <c r="V17" s="129"/>
      <c r="W17" s="129"/>
    </row>
    <row r="18" spans="1:23" s="122" customFormat="1" ht="12.75" customHeight="1" outlineLevel="1">
      <c r="A18" s="66"/>
      <c r="B18" s="66"/>
      <c r="C18" s="73"/>
      <c r="D18" s="71"/>
      <c r="E18" s="112" t="str">
        <f xml:space="preserve"> Inputs!E$95</f>
        <v>Allowed revenue - Water-N+ (base year 2019/2020)</v>
      </c>
      <c r="F18" s="112">
        <f xml:space="preserve"> Inputs!F$95</f>
        <v>820.81826854005897</v>
      </c>
      <c r="G18" s="112" t="str">
        <f xml:space="preserve"> Inputs!G$95</f>
        <v>£m</v>
      </c>
      <c r="H18" s="112">
        <f xml:space="preserve"> Inputs!H$95</f>
        <v>0</v>
      </c>
      <c r="I18" s="112">
        <f xml:space="preserve"> Inputs!I$95</f>
        <v>0</v>
      </c>
      <c r="J18" s="112">
        <f xml:space="preserve"> Inputs!J$95</f>
        <v>0</v>
      </c>
      <c r="K18" s="112">
        <f xml:space="preserve"> Inputs!K$95</f>
        <v>0</v>
      </c>
      <c r="L18" s="112">
        <f xml:space="preserve"> Inputs!L$95</f>
        <v>0</v>
      </c>
      <c r="M18" s="112">
        <f xml:space="preserve"> Inputs!M$95</f>
        <v>0</v>
      </c>
      <c r="N18" s="112">
        <f xml:space="preserve"> Inputs!N$95</f>
        <v>0</v>
      </c>
      <c r="O18" s="112">
        <f xml:space="preserve"> Inputs!O$95</f>
        <v>0</v>
      </c>
      <c r="P18" s="112">
        <f xml:space="preserve"> Inputs!P$95</f>
        <v>0</v>
      </c>
      <c r="Q18" s="112">
        <f xml:space="preserve"> Inputs!Q$95</f>
        <v>0</v>
      </c>
      <c r="R18" s="112">
        <f xml:space="preserve"> Inputs!R$95</f>
        <v>0</v>
      </c>
      <c r="S18" s="112">
        <f xml:space="preserve"> Inputs!S$95</f>
        <v>0</v>
      </c>
      <c r="T18" s="112">
        <f xml:space="preserve"> Inputs!T$95</f>
        <v>0</v>
      </c>
      <c r="U18" s="112">
        <f xml:space="preserve"> Inputs!U$95</f>
        <v>0</v>
      </c>
      <c r="V18" s="112">
        <f xml:space="preserve"> Inputs!V$95</f>
        <v>0</v>
      </c>
      <c r="W18" s="112">
        <f xml:space="preserve"> Inputs!W$95</f>
        <v>0</v>
      </c>
    </row>
    <row r="19" spans="1:23" s="124" customFormat="1" ht="12.75" customHeight="1" outlineLevel="1">
      <c r="A19" s="116"/>
      <c r="B19" s="116"/>
      <c r="C19" s="117"/>
      <c r="D19" s="85"/>
      <c r="E19" s="81" t="str">
        <f xml:space="preserve"> 'Indices and K factor'!E$54</f>
        <v>Revenue indexation - Water-N+</v>
      </c>
      <c r="F19" s="81">
        <f xml:space="preserve"> 'Indices and K factor'!F$54</f>
        <v>0</v>
      </c>
      <c r="G19" s="81" t="str">
        <f xml:space="preserve"> 'Indices and K factor'!G$54</f>
        <v>factor</v>
      </c>
      <c r="H19" s="81">
        <f xml:space="preserve"> 'Indices and K factor'!H$54</f>
        <v>0</v>
      </c>
      <c r="I19" s="81">
        <f xml:space="preserve"> 'Indices and K factor'!I$54</f>
        <v>0</v>
      </c>
      <c r="J19" s="228">
        <f xml:space="preserve"> 'Indices and K factor'!J$54</f>
        <v>0</v>
      </c>
      <c r="K19" s="228">
        <f xml:space="preserve"> 'Indices and K factor'!K$54</f>
        <v>0</v>
      </c>
      <c r="L19" s="228">
        <f xml:space="preserve"> 'Indices and K factor'!L$54</f>
        <v>0</v>
      </c>
      <c r="M19" s="228">
        <f xml:space="preserve"> 'Indices and K factor'!M$54</f>
        <v>0</v>
      </c>
      <c r="N19" s="228">
        <f xml:space="preserve"> 'Indices and K factor'!N$54</f>
        <v>0</v>
      </c>
      <c r="O19" s="228">
        <f xml:space="preserve"> 'Indices and K factor'!O$54</f>
        <v>0</v>
      </c>
      <c r="P19" s="228">
        <f xml:space="preserve"> 'Indices and K factor'!P$54</f>
        <v>1.0149672591206735</v>
      </c>
      <c r="Q19" s="228">
        <f xml:space="preserve"> 'Indices and K factor'!Q$54</f>
        <v>1.0799299539170506</v>
      </c>
      <c r="R19" s="228">
        <f xml:space="preserve"> 'Indices and K factor'!R$54</f>
        <v>1.0224295142071496</v>
      </c>
      <c r="S19" s="228">
        <f xml:space="preserve"> 'Indices and K factor'!S$54</f>
        <v>1.131177388255916</v>
      </c>
      <c r="T19" s="228">
        <f xml:space="preserve"> 'Indices and K factor'!T$54</f>
        <v>0.96945929487179505</v>
      </c>
      <c r="U19" s="228">
        <f xml:space="preserve"> 'Indices and K factor'!U$54</f>
        <v>0</v>
      </c>
      <c r="V19" s="228">
        <f xml:space="preserve"> 'Indices and K factor'!V$54</f>
        <v>0</v>
      </c>
      <c r="W19" s="228">
        <f xml:space="preserve"> 'Indices and K factor'!W$54</f>
        <v>0</v>
      </c>
    </row>
    <row r="20" spans="1:23" s="123" customFormat="1" ht="12.75" customHeight="1" outlineLevel="1">
      <c r="A20" s="166"/>
      <c r="B20" s="166"/>
      <c r="C20" s="167"/>
      <c r="D20" s="75"/>
      <c r="E20" s="98" t="str">
        <f xml:space="preserve"> Time!E$41</f>
        <v>Forecast start period flag</v>
      </c>
      <c r="F20" s="98">
        <f xml:space="preserve"> Time!F$41</f>
        <v>0</v>
      </c>
      <c r="G20" s="98" t="str">
        <f xml:space="preserve"> Time!G$41</f>
        <v>flag</v>
      </c>
      <c r="H20" s="98">
        <f xml:space="preserve"> Time!H$41</f>
        <v>1</v>
      </c>
      <c r="I20" s="98">
        <f xml:space="preserve"> Time!I$41</f>
        <v>0</v>
      </c>
      <c r="J20" s="98">
        <f xml:space="preserve"> Time!J$41</f>
        <v>0</v>
      </c>
      <c r="K20" s="98">
        <f xml:space="preserve"> Time!K$41</f>
        <v>0</v>
      </c>
      <c r="L20" s="98">
        <f xml:space="preserve"> Time!L$41</f>
        <v>0</v>
      </c>
      <c r="M20" s="98">
        <f xml:space="preserve"> Time!M$41</f>
        <v>0</v>
      </c>
      <c r="N20" s="98">
        <f xml:space="preserve"> Time!N$41</f>
        <v>0</v>
      </c>
      <c r="O20" s="98">
        <f xml:space="preserve"> Time!O$41</f>
        <v>0</v>
      </c>
      <c r="P20" s="98">
        <f xml:space="preserve"> Time!P$41</f>
        <v>1</v>
      </c>
      <c r="Q20" s="98">
        <f xml:space="preserve"> Time!Q$41</f>
        <v>0</v>
      </c>
      <c r="R20" s="98">
        <f xml:space="preserve"> Time!R$41</f>
        <v>0</v>
      </c>
      <c r="S20" s="98">
        <f xml:space="preserve"> Time!S$41</f>
        <v>0</v>
      </c>
      <c r="T20" s="98">
        <f xml:space="preserve"> Time!T$41</f>
        <v>0</v>
      </c>
      <c r="U20" s="98">
        <f xml:space="preserve"> Time!U$41</f>
        <v>0</v>
      </c>
      <c r="V20" s="98">
        <f xml:space="preserve"> Time!V$41</f>
        <v>0</v>
      </c>
      <c r="W20" s="98">
        <f xml:space="preserve"> Time!W$41</f>
        <v>0</v>
      </c>
    </row>
    <row r="21" spans="1:23" s="173" customFormat="1" ht="12.75" customHeight="1" outlineLevel="1">
      <c r="A21" s="305"/>
      <c r="B21" s="305"/>
      <c r="C21" s="306"/>
      <c r="E21" s="205" t="s">
        <v>301</v>
      </c>
      <c r="F21" s="307"/>
      <c r="G21" s="307" t="s">
        <v>97</v>
      </c>
      <c r="H21" s="210">
        <f xml:space="preserve"> SUM(J21:W21)</f>
        <v>4701.9714957920578</v>
      </c>
      <c r="I21" s="307"/>
      <c r="J21" s="210">
        <f xml:space="preserve"> IF(J20 = 1, $F18 * J19, I21 * J19 )</f>
        <v>0</v>
      </c>
      <c r="K21" s="210">
        <f t="shared" ref="K21:W21" si="1" xml:space="preserve"> IF(K20 = 1, $F18 * K19, J21 * K19 )</f>
        <v>0</v>
      </c>
      <c r="L21" s="210">
        <f t="shared" si="1"/>
        <v>0</v>
      </c>
      <c r="M21" s="210">
        <f t="shared" si="1"/>
        <v>0</v>
      </c>
      <c r="N21" s="210">
        <f t="shared" si="1"/>
        <v>0</v>
      </c>
      <c r="O21" s="210">
        <f t="shared" si="1"/>
        <v>0</v>
      </c>
      <c r="P21" s="210">
        <f t="shared" si="1"/>
        <v>833.10366825628057</v>
      </c>
      <c r="Q21" s="210">
        <f t="shared" si="1"/>
        <v>899.69360606813086</v>
      </c>
      <c r="R21" s="210">
        <f t="shared" si="1"/>
        <v>919.87329658751764</v>
      </c>
      <c r="S21" s="210">
        <f t="shared" si="1"/>
        <v>1040.5398731602277</v>
      </c>
      <c r="T21" s="210">
        <f t="shared" si="1"/>
        <v>1008.7610517199014</v>
      </c>
      <c r="U21" s="210">
        <f t="shared" si="1"/>
        <v>0</v>
      </c>
      <c r="V21" s="210">
        <f t="shared" si="1"/>
        <v>0</v>
      </c>
      <c r="W21" s="210">
        <f t="shared" si="1"/>
        <v>0</v>
      </c>
    </row>
    <row r="22" spans="1:23" ht="12.75" customHeight="1" outlineLevel="1">
      <c r="A22" s="63"/>
      <c r="C22" s="110"/>
      <c r="E22" s="113"/>
    </row>
    <row r="23" spans="1:23" ht="12.75" customHeight="1">
      <c r="A23" s="115" t="s">
        <v>302</v>
      </c>
      <c r="B23" s="115"/>
      <c r="C23" s="114"/>
      <c r="D23" s="115"/>
      <c r="E23" s="115"/>
      <c r="F23" s="115"/>
      <c r="G23" s="115"/>
      <c r="H23" s="115"/>
      <c r="I23" s="115"/>
      <c r="J23" s="115"/>
      <c r="K23" s="115"/>
      <c r="L23" s="115"/>
      <c r="M23" s="115"/>
      <c r="N23" s="115"/>
      <c r="O23" s="115"/>
      <c r="P23" s="115"/>
      <c r="Q23" s="115"/>
      <c r="R23" s="115"/>
      <c r="S23" s="115"/>
      <c r="T23" s="115"/>
      <c r="U23" s="115"/>
      <c r="V23" s="115"/>
      <c r="W23" s="115"/>
    </row>
    <row r="24" spans="1:23" s="6" customFormat="1" ht="12.75" customHeight="1">
      <c r="A24" s="64"/>
      <c r="B24" s="64"/>
      <c r="C24" s="62"/>
      <c r="D24" s="159"/>
      <c r="E24" s="98"/>
      <c r="F24" s="101"/>
      <c r="G24" s="101"/>
      <c r="H24" s="101"/>
      <c r="I24" s="101"/>
      <c r="J24" s="101"/>
      <c r="K24" s="101"/>
      <c r="L24" s="101"/>
      <c r="M24" s="101"/>
      <c r="N24" s="101"/>
      <c r="O24" s="101"/>
      <c r="P24" s="101"/>
      <c r="Q24" s="101"/>
      <c r="R24" s="101"/>
      <c r="S24" s="101"/>
      <c r="T24" s="101"/>
      <c r="U24" s="101"/>
    </row>
    <row r="25" spans="1:23" s="6" customFormat="1" ht="12.75" customHeight="1" outlineLevel="1">
      <c r="A25" s="64"/>
      <c r="B25" s="64"/>
      <c r="C25" s="62"/>
      <c r="D25" s="159"/>
      <c r="E25" s="98" t="str">
        <f xml:space="preserve"> Inputs!E$69</f>
        <v>Timing delay</v>
      </c>
      <c r="F25" s="98">
        <f xml:space="preserve"> Inputs!F$69</f>
        <v>2</v>
      </c>
      <c r="G25" s="98" t="str">
        <f xml:space="preserve"> Inputs!G$69</f>
        <v>years</v>
      </c>
      <c r="H25" s="98">
        <f xml:space="preserve"> Inputs!H$69</f>
        <v>0</v>
      </c>
      <c r="I25" s="98">
        <f xml:space="preserve"> Inputs!I$69</f>
        <v>0</v>
      </c>
      <c r="J25" s="98">
        <f xml:space="preserve"> Inputs!J$69</f>
        <v>0</v>
      </c>
      <c r="K25" s="98">
        <f xml:space="preserve"> Inputs!K$69</f>
        <v>0</v>
      </c>
      <c r="L25" s="98">
        <f xml:space="preserve"> Inputs!L$69</f>
        <v>0</v>
      </c>
      <c r="M25" s="98">
        <f xml:space="preserve"> Inputs!M$69</f>
        <v>0</v>
      </c>
      <c r="N25" s="98">
        <f xml:space="preserve"> Inputs!N$69</f>
        <v>0</v>
      </c>
      <c r="O25" s="98">
        <f xml:space="preserve"> Inputs!O$69</f>
        <v>0</v>
      </c>
      <c r="P25" s="98">
        <f xml:space="preserve"> Inputs!P$69</f>
        <v>0</v>
      </c>
      <c r="Q25" s="98">
        <f xml:space="preserve"> Inputs!Q$69</f>
        <v>0</v>
      </c>
      <c r="R25" s="98">
        <f xml:space="preserve"> Inputs!R$69</f>
        <v>0</v>
      </c>
      <c r="S25" s="98">
        <f xml:space="preserve"> Inputs!S$69</f>
        <v>0</v>
      </c>
      <c r="T25" s="98">
        <f xml:space="preserve"> Inputs!T$69</f>
        <v>0</v>
      </c>
      <c r="U25" s="98">
        <f xml:space="preserve"> Inputs!U$69</f>
        <v>0</v>
      </c>
      <c r="V25" s="98">
        <f xml:space="preserve"> Inputs!V$69</f>
        <v>0</v>
      </c>
      <c r="W25" s="98">
        <f xml:space="preserve"> Inputs!W$69</f>
        <v>0</v>
      </c>
    </row>
    <row r="26" spans="1:23" s="6" customFormat="1" ht="12.75" customHeight="1" outlineLevel="1">
      <c r="A26" s="64"/>
      <c r="B26" s="64"/>
      <c r="C26" s="62"/>
      <c r="D26" s="159"/>
      <c r="E26" s="43" t="str">
        <f xml:space="preserve"> Inputs!E$63</f>
        <v>Discount rate</v>
      </c>
      <c r="F26" s="43">
        <f xml:space="preserve"> Inputs!F$63</f>
        <v>2.92E-2</v>
      </c>
      <c r="G26" s="43" t="str">
        <f xml:space="preserve"> Inputs!G$63</f>
        <v>%</v>
      </c>
      <c r="H26" s="43">
        <f xml:space="preserve"> Inputs!H$63</f>
        <v>0</v>
      </c>
      <c r="I26" s="43">
        <f xml:space="preserve"> Inputs!I$63</f>
        <v>0</v>
      </c>
      <c r="J26" s="43">
        <f xml:space="preserve"> Inputs!J$63</f>
        <v>0</v>
      </c>
      <c r="K26" s="43">
        <f xml:space="preserve"> Inputs!K$63</f>
        <v>0</v>
      </c>
      <c r="L26" s="43">
        <f xml:space="preserve"> Inputs!L$63</f>
        <v>0</v>
      </c>
      <c r="M26" s="43">
        <f xml:space="preserve"> Inputs!M$63</f>
        <v>0</v>
      </c>
      <c r="N26" s="43">
        <f xml:space="preserve"> Inputs!N$63</f>
        <v>0</v>
      </c>
      <c r="O26" s="43">
        <f xml:space="preserve"> Inputs!O$63</f>
        <v>0</v>
      </c>
      <c r="P26" s="43">
        <f xml:space="preserve"> Inputs!P$63</f>
        <v>0</v>
      </c>
      <c r="Q26" s="43">
        <f xml:space="preserve"> Inputs!Q$63</f>
        <v>0</v>
      </c>
      <c r="R26" s="43">
        <f xml:space="preserve"> Inputs!R$63</f>
        <v>0</v>
      </c>
      <c r="S26" s="43">
        <f xml:space="preserve"> Inputs!S$63</f>
        <v>0</v>
      </c>
      <c r="T26" s="43">
        <f xml:space="preserve"> Inputs!T$63</f>
        <v>0</v>
      </c>
      <c r="U26" s="43">
        <f xml:space="preserve"> Inputs!U$63</f>
        <v>0</v>
      </c>
      <c r="V26" s="43">
        <f xml:space="preserve"> Inputs!V$63</f>
        <v>0</v>
      </c>
      <c r="W26" s="43">
        <f xml:space="preserve"> Inputs!W$63</f>
        <v>0</v>
      </c>
    </row>
    <row r="27" spans="1:23" s="6" customFormat="1" ht="12.75" customHeight="1" outlineLevel="1">
      <c r="A27" s="64"/>
      <c r="B27" s="64"/>
      <c r="C27" s="62"/>
      <c r="D27" s="159"/>
      <c r="E27" s="204" t="str">
        <f xml:space="preserve"> Time!E$63</f>
        <v>Forecast period counter</v>
      </c>
      <c r="F27" s="204">
        <f xml:space="preserve"> Time!F$63</f>
        <v>0</v>
      </c>
      <c r="G27" s="204" t="str">
        <f xml:space="preserve"> Time!G$63</f>
        <v>counter</v>
      </c>
      <c r="H27" s="204">
        <f xml:space="preserve"> Time!H$63</f>
        <v>0</v>
      </c>
      <c r="I27" s="204">
        <f xml:space="preserve"> Time!I$63</f>
        <v>0</v>
      </c>
      <c r="J27" s="98">
        <f xml:space="preserve"> Time!J$63</f>
        <v>0</v>
      </c>
      <c r="K27" s="98">
        <f xml:space="preserve"> Time!K$63</f>
        <v>0</v>
      </c>
      <c r="L27" s="98">
        <f xml:space="preserve"> Time!L$63</f>
        <v>0</v>
      </c>
      <c r="M27" s="98">
        <f xml:space="preserve"> Time!M$63</f>
        <v>0</v>
      </c>
      <c r="N27" s="98">
        <f xml:space="preserve"> Time!N$63</f>
        <v>0</v>
      </c>
      <c r="O27" s="98">
        <f xml:space="preserve"> Time!O$63</f>
        <v>0</v>
      </c>
      <c r="P27" s="98">
        <f xml:space="preserve"> Time!P$63</f>
        <v>1</v>
      </c>
      <c r="Q27" s="98">
        <f xml:space="preserve"> Time!Q$63</f>
        <v>2</v>
      </c>
      <c r="R27" s="98">
        <f xml:space="preserve"> Time!R$63</f>
        <v>3</v>
      </c>
      <c r="S27" s="98">
        <f xml:space="preserve"> Time!S$63</f>
        <v>4</v>
      </c>
      <c r="T27" s="98">
        <f xml:space="preserve"> Time!T$63</f>
        <v>5</v>
      </c>
      <c r="U27" s="98">
        <f xml:space="preserve"> Time!U$63</f>
        <v>0</v>
      </c>
      <c r="V27" s="98">
        <f xml:space="preserve"> Time!V$63</f>
        <v>0</v>
      </c>
      <c r="W27" s="98">
        <f xml:space="preserve"> Time!W$63</f>
        <v>0</v>
      </c>
    </row>
    <row r="28" spans="1:23" s="123" customFormat="1" ht="12.75" customHeight="1" outlineLevel="1">
      <c r="A28" s="166"/>
      <c r="B28" s="166"/>
      <c r="C28" s="167"/>
      <c r="D28" s="75"/>
      <c r="E28" s="96" t="str">
        <f xml:space="preserve"> Inputs!E$77</f>
        <v>Bilateral entry adjustment (BEA) (base year 2017/18)</v>
      </c>
      <c r="F28" s="96">
        <f xml:space="preserve"> Inputs!F$77</f>
        <v>0</v>
      </c>
      <c r="G28" s="96" t="str">
        <f xml:space="preserve"> Inputs!G$77</f>
        <v>£m</v>
      </c>
      <c r="H28" s="96">
        <f xml:space="preserve"> Inputs!H$77</f>
        <v>0</v>
      </c>
      <c r="I28" s="96">
        <f xml:space="preserve"> Inputs!I$77</f>
        <v>0</v>
      </c>
      <c r="J28" s="96">
        <f xml:space="preserve"> Inputs!J$77</f>
        <v>0</v>
      </c>
      <c r="K28" s="96">
        <f xml:space="preserve"> Inputs!K$77</f>
        <v>0</v>
      </c>
      <c r="L28" s="96">
        <f xml:space="preserve"> Inputs!L$77</f>
        <v>0</v>
      </c>
      <c r="M28" s="96">
        <f xml:space="preserve"> Inputs!M$77</f>
        <v>0</v>
      </c>
      <c r="N28" s="96">
        <f xml:space="preserve"> Inputs!N$77</f>
        <v>0</v>
      </c>
      <c r="O28" s="96">
        <f xml:space="preserve"> Inputs!O$77</f>
        <v>0</v>
      </c>
      <c r="P28" s="96">
        <f xml:space="preserve"> Inputs!P$77</f>
        <v>0</v>
      </c>
      <c r="Q28" s="96">
        <f xml:space="preserve"> Inputs!Q$77</f>
        <v>0</v>
      </c>
      <c r="R28" s="96">
        <f xml:space="preserve"> Inputs!R$77</f>
        <v>0</v>
      </c>
      <c r="S28" s="96">
        <f xml:space="preserve"> Inputs!S$77</f>
        <v>0</v>
      </c>
      <c r="T28" s="96">
        <f xml:space="preserve"> Inputs!T$77</f>
        <v>0</v>
      </c>
      <c r="U28" s="96">
        <f xml:space="preserve"> Inputs!U$77</f>
        <v>0</v>
      </c>
      <c r="V28" s="96">
        <f xml:space="preserve"> Inputs!V$77</f>
        <v>0</v>
      </c>
      <c r="W28" s="96">
        <f xml:space="preserve"> Inputs!W$77</f>
        <v>0</v>
      </c>
    </row>
    <row r="29" spans="1:23" s="6" customFormat="1" ht="12.75" customHeight="1" outlineLevel="1">
      <c r="A29" s="64"/>
      <c r="B29" s="64"/>
      <c r="C29" s="62"/>
      <c r="D29" s="159"/>
      <c r="E29" s="129" t="s">
        <v>303</v>
      </c>
      <c r="F29" s="101"/>
      <c r="G29" s="101" t="s">
        <v>97</v>
      </c>
      <c r="H29" s="93">
        <f xml:space="preserve"> SUM( J29:W29 )</f>
        <v>0</v>
      </c>
      <c r="I29" s="101"/>
      <c r="J29" s="93">
        <f t="shared" ref="J29:W29" si="2" xml:space="preserve"> IF( J27 &gt;= $F25 + 1,  J28 * ( 1 + $F26 ) * ( 1 + $F26 ), 0 )</f>
        <v>0</v>
      </c>
      <c r="K29" s="93">
        <f t="shared" si="2"/>
        <v>0</v>
      </c>
      <c r="L29" s="93">
        <f t="shared" si="2"/>
        <v>0</v>
      </c>
      <c r="M29" s="93">
        <f t="shared" si="2"/>
        <v>0</v>
      </c>
      <c r="N29" s="93">
        <f t="shared" si="2"/>
        <v>0</v>
      </c>
      <c r="O29" s="93">
        <f t="shared" si="2"/>
        <v>0</v>
      </c>
      <c r="P29" s="93">
        <f t="shared" si="2"/>
        <v>0</v>
      </c>
      <c r="Q29" s="93">
        <f t="shared" si="2"/>
        <v>0</v>
      </c>
      <c r="R29" s="93">
        <f t="shared" si="2"/>
        <v>0</v>
      </c>
      <c r="S29" s="93">
        <f t="shared" si="2"/>
        <v>0</v>
      </c>
      <c r="T29" s="93">
        <f t="shared" si="2"/>
        <v>0</v>
      </c>
      <c r="U29" s="93">
        <f t="shared" si="2"/>
        <v>0</v>
      </c>
      <c r="V29" s="93">
        <f t="shared" si="2"/>
        <v>0</v>
      </c>
      <c r="W29" s="93">
        <f t="shared" si="2"/>
        <v>0</v>
      </c>
    </row>
    <row r="30" spans="1:23" s="6" customFormat="1" ht="12.75" customHeight="1" outlineLevel="1">
      <c r="A30" s="64"/>
      <c r="B30" s="64"/>
      <c r="C30" s="62"/>
      <c r="D30" s="159"/>
      <c r="E30" s="129"/>
      <c r="F30" s="101"/>
      <c r="G30" s="101"/>
      <c r="H30" s="93"/>
      <c r="I30" s="101"/>
      <c r="J30" s="93"/>
      <c r="K30" s="93"/>
      <c r="L30" s="93"/>
      <c r="M30" s="93"/>
      <c r="N30" s="93"/>
      <c r="O30" s="93"/>
      <c r="P30" s="93"/>
      <c r="Q30" s="93"/>
      <c r="R30" s="93"/>
      <c r="S30" s="93"/>
      <c r="T30" s="93"/>
      <c r="U30" s="93"/>
      <c r="V30" s="93"/>
      <c r="W30" s="93"/>
    </row>
    <row r="31" spans="1:23" s="101" customFormat="1" ht="12.75" customHeight="1" outlineLevel="1">
      <c r="A31" s="166"/>
      <c r="B31" s="166"/>
      <c r="C31" s="167"/>
      <c r="D31" s="75"/>
      <c r="E31" s="93" t="str">
        <f xml:space="preserve"> E$29</f>
        <v>Bilateral entry adjustment - with financing adjustment</v>
      </c>
      <c r="F31" s="93">
        <f t="shared" ref="F31:W31" si="3" xml:space="preserve"> F$29</f>
        <v>0</v>
      </c>
      <c r="G31" s="93" t="str">
        <f t="shared" si="3"/>
        <v>£m</v>
      </c>
      <c r="H31" s="93">
        <f t="shared" si="3"/>
        <v>0</v>
      </c>
      <c r="I31" s="93">
        <f t="shared" si="3"/>
        <v>0</v>
      </c>
      <c r="J31" s="93">
        <f t="shared" si="3"/>
        <v>0</v>
      </c>
      <c r="K31" s="93">
        <f t="shared" si="3"/>
        <v>0</v>
      </c>
      <c r="L31" s="93">
        <f t="shared" si="3"/>
        <v>0</v>
      </c>
      <c r="M31" s="93">
        <f t="shared" si="3"/>
        <v>0</v>
      </c>
      <c r="N31" s="93">
        <f t="shared" si="3"/>
        <v>0</v>
      </c>
      <c r="O31" s="93">
        <f t="shared" si="3"/>
        <v>0</v>
      </c>
      <c r="P31" s="93">
        <f t="shared" si="3"/>
        <v>0</v>
      </c>
      <c r="Q31" s="93">
        <f t="shared" si="3"/>
        <v>0</v>
      </c>
      <c r="R31" s="93">
        <f t="shared" si="3"/>
        <v>0</v>
      </c>
      <c r="S31" s="93">
        <f t="shared" si="3"/>
        <v>0</v>
      </c>
      <c r="T31" s="93">
        <f t="shared" si="3"/>
        <v>0</v>
      </c>
      <c r="U31" s="93">
        <f t="shared" si="3"/>
        <v>0</v>
      </c>
      <c r="V31" s="93">
        <f t="shared" si="3"/>
        <v>0</v>
      </c>
      <c r="W31" s="93">
        <f t="shared" si="3"/>
        <v>0</v>
      </c>
    </row>
    <row r="32" spans="1:23" s="55" customFormat="1" ht="12.75" customHeight="1" outlineLevel="1">
      <c r="E32" s="330" t="str">
        <f xml:space="preserve"> 'Indices and K factor'!E$28</f>
        <v>CPIH: Nov - Nov index (prior year) inflating from 2017/18</v>
      </c>
      <c r="F32" s="330">
        <f xml:space="preserve"> 'Indices and K factor'!F$28</f>
        <v>0</v>
      </c>
      <c r="G32" s="330" t="str">
        <f xml:space="preserve"> 'Indices and K factor'!G$28</f>
        <v>index</v>
      </c>
      <c r="H32" s="331">
        <f xml:space="preserve"> 'Indices and K factor'!H$28</f>
        <v>0</v>
      </c>
      <c r="I32" s="331">
        <f xml:space="preserve"> 'Indices and K factor'!I$28</f>
        <v>0</v>
      </c>
      <c r="J32" s="43">
        <f xml:space="preserve"> 'Indices and K factor'!J$28</f>
        <v>0</v>
      </c>
      <c r="K32" s="43">
        <f xml:space="preserve"> 'Indices and K factor'!K$28</f>
        <v>0</v>
      </c>
      <c r="L32" s="43">
        <f xml:space="preserve"> 'Indices and K factor'!L$28</f>
        <v>0</v>
      </c>
      <c r="M32" s="43">
        <f xml:space="preserve"> 'Indices and K factor'!M$28</f>
        <v>0</v>
      </c>
      <c r="N32" s="43">
        <f xml:space="preserve"> 'Indices and K factor'!N$28</f>
        <v>0</v>
      </c>
      <c r="O32" s="43">
        <f xml:space="preserve"> 'Indices and K factor'!O$28</f>
        <v>0</v>
      </c>
      <c r="P32" s="43">
        <f xml:space="preserve"> 'Indices and K factor'!P$28</f>
        <v>1.0658153241650294</v>
      </c>
      <c r="Q32" s="43">
        <f xml:space="preserve"> 'Indices and K factor'!Q$28</f>
        <v>1.0717092337917484</v>
      </c>
      <c r="R32" s="43">
        <f xml:space="preserve"> 'Indices and K factor'!R$28</f>
        <v>1.1208251473477406</v>
      </c>
      <c r="S32" s="43">
        <f xml:space="preserve"> 'Indices and K factor'!S$28</f>
        <v>1.2259332023575638</v>
      </c>
      <c r="T32" s="43">
        <f xml:space="preserve"> 'Indices and K factor'!T$28</f>
        <v>1.2774950884086445</v>
      </c>
      <c r="U32" s="43">
        <f xml:space="preserve"> 'Indices and K factor'!U$28</f>
        <v>0</v>
      </c>
      <c r="V32" s="43">
        <f xml:space="preserve"> 'Indices and K factor'!V$28</f>
        <v>0</v>
      </c>
      <c r="W32" s="43">
        <f xml:space="preserve"> 'Indices and K factor'!W$28</f>
        <v>0</v>
      </c>
    </row>
    <row r="33" spans="1:23" s="6" customFormat="1" ht="12.75" customHeight="1" outlineLevel="1">
      <c r="A33" s="64"/>
      <c r="B33" s="64"/>
      <c r="C33" s="62"/>
      <c r="D33" s="159"/>
      <c r="E33" s="129" t="s">
        <v>304</v>
      </c>
      <c r="F33" s="101"/>
      <c r="G33" s="101"/>
      <c r="H33" s="93">
        <f xml:space="preserve"> SUM( J33:W33 )</f>
        <v>0</v>
      </c>
      <c r="I33" s="101"/>
      <c r="J33" s="93">
        <f xml:space="preserve"> J31 * L32</f>
        <v>0</v>
      </c>
      <c r="K33" s="93">
        <f t="shared" ref="K33:S33" si="4" xml:space="preserve"> K31 * M32</f>
        <v>0</v>
      </c>
      <c r="L33" s="93">
        <f t="shared" si="4"/>
        <v>0</v>
      </c>
      <c r="M33" s="93">
        <f t="shared" si="4"/>
        <v>0</v>
      </c>
      <c r="N33" s="93">
        <f t="shared" si="4"/>
        <v>0</v>
      </c>
      <c r="O33" s="93">
        <f t="shared" si="4"/>
        <v>0</v>
      </c>
      <c r="P33" s="93">
        <f t="shared" si="4"/>
        <v>0</v>
      </c>
      <c r="Q33" s="93">
        <f t="shared" si="4"/>
        <v>0</v>
      </c>
      <c r="R33" s="93">
        <f t="shared" si="4"/>
        <v>0</v>
      </c>
      <c r="S33" s="93">
        <f t="shared" si="4"/>
        <v>0</v>
      </c>
      <c r="T33" s="93">
        <f xml:space="preserve"> T31 * V32</f>
        <v>0</v>
      </c>
      <c r="U33" s="93">
        <f xml:space="preserve"> U31 * W32</f>
        <v>0</v>
      </c>
      <c r="V33" s="460"/>
      <c r="W33" s="460"/>
    </row>
    <row r="34" spans="1:23" s="6" customFormat="1" ht="12.75" customHeight="1" outlineLevel="1">
      <c r="A34" s="64"/>
      <c r="B34" s="64"/>
      <c r="C34" s="62"/>
      <c r="D34" s="159"/>
      <c r="E34" s="129"/>
      <c r="F34" s="101"/>
      <c r="G34" s="101"/>
      <c r="H34" s="93"/>
      <c r="I34" s="101"/>
      <c r="J34" s="93"/>
      <c r="K34" s="93"/>
      <c r="L34" s="93"/>
      <c r="M34" s="93"/>
      <c r="N34" s="93"/>
      <c r="O34" s="93"/>
      <c r="P34" s="93"/>
      <c r="Q34" s="93"/>
      <c r="R34" s="93"/>
      <c r="S34" s="93"/>
      <c r="T34" s="93"/>
      <c r="U34" s="93"/>
      <c r="V34" s="93"/>
      <c r="W34" s="93"/>
    </row>
    <row r="35" spans="1:23" s="6" customFormat="1" ht="12.75" customHeight="1" outlineLevel="1">
      <c r="A35" s="64"/>
      <c r="B35" s="64"/>
      <c r="C35" s="62"/>
      <c r="D35" s="159"/>
      <c r="E35" s="98" t="str">
        <f xml:space="preserve"> Inputs!E$69</f>
        <v>Timing delay</v>
      </c>
      <c r="F35" s="98">
        <f xml:space="preserve"> Inputs!F$69</f>
        <v>2</v>
      </c>
      <c r="G35" s="98" t="str">
        <f xml:space="preserve"> Inputs!G$69</f>
        <v>years</v>
      </c>
      <c r="H35" s="98">
        <f xml:space="preserve"> Inputs!H$69</f>
        <v>0</v>
      </c>
      <c r="I35" s="98">
        <f xml:space="preserve"> Inputs!I$69</f>
        <v>0</v>
      </c>
      <c r="J35" s="98">
        <f xml:space="preserve"> Inputs!J$69</f>
        <v>0</v>
      </c>
      <c r="K35" s="98">
        <f xml:space="preserve"> Inputs!K$69</f>
        <v>0</v>
      </c>
      <c r="L35" s="98">
        <f xml:space="preserve"> Inputs!L$69</f>
        <v>0</v>
      </c>
      <c r="M35" s="98">
        <f xml:space="preserve"> Inputs!M$69</f>
        <v>0</v>
      </c>
      <c r="N35" s="98">
        <f xml:space="preserve"> Inputs!N$69</f>
        <v>0</v>
      </c>
      <c r="O35" s="98">
        <f xml:space="preserve"> Inputs!O$69</f>
        <v>0</v>
      </c>
      <c r="P35" s="98">
        <f xml:space="preserve"> Inputs!P$69</f>
        <v>0</v>
      </c>
      <c r="Q35" s="98">
        <f xml:space="preserve"> Inputs!Q$69</f>
        <v>0</v>
      </c>
      <c r="R35" s="98">
        <f xml:space="preserve"> Inputs!R$69</f>
        <v>0</v>
      </c>
      <c r="S35" s="98">
        <f xml:space="preserve"> Inputs!S$69</f>
        <v>0</v>
      </c>
      <c r="T35" s="98">
        <f xml:space="preserve"> Inputs!T$69</f>
        <v>0</v>
      </c>
      <c r="U35" s="98">
        <f xml:space="preserve"> Inputs!U$69</f>
        <v>0</v>
      </c>
      <c r="V35" s="98">
        <f xml:space="preserve"> Inputs!V$69</f>
        <v>0</v>
      </c>
      <c r="W35" s="98">
        <f xml:space="preserve"> Inputs!W$69</f>
        <v>0</v>
      </c>
    </row>
    <row r="36" spans="1:23" s="6" customFormat="1" ht="12.75" customHeight="1" outlineLevel="1">
      <c r="A36" s="64"/>
      <c r="B36" s="64"/>
      <c r="C36" s="62"/>
      <c r="D36" s="159"/>
      <c r="E36" s="129" t="str">
        <f xml:space="preserve"> E$33</f>
        <v>Bilateral entry adjustment - with financing adjustment and inflation adjustment</v>
      </c>
      <c r="F36" s="129">
        <f t="shared" ref="F36:W36" si="5" xml:space="preserve"> F$33</f>
        <v>0</v>
      </c>
      <c r="G36" s="129">
        <f t="shared" si="5"/>
        <v>0</v>
      </c>
      <c r="H36" s="148">
        <f t="shared" si="5"/>
        <v>0</v>
      </c>
      <c r="I36" s="148">
        <f t="shared" si="5"/>
        <v>0</v>
      </c>
      <c r="J36" s="148">
        <f t="shared" si="5"/>
        <v>0</v>
      </c>
      <c r="K36" s="148">
        <f t="shared" si="5"/>
        <v>0</v>
      </c>
      <c r="L36" s="148">
        <f t="shared" si="5"/>
        <v>0</v>
      </c>
      <c r="M36" s="148">
        <f t="shared" si="5"/>
        <v>0</v>
      </c>
      <c r="N36" s="148">
        <f t="shared" si="5"/>
        <v>0</v>
      </c>
      <c r="O36" s="148">
        <f t="shared" si="5"/>
        <v>0</v>
      </c>
      <c r="P36" s="148">
        <f t="shared" si="5"/>
        <v>0</v>
      </c>
      <c r="Q36" s="148">
        <f t="shared" si="5"/>
        <v>0</v>
      </c>
      <c r="R36" s="148">
        <f t="shared" si="5"/>
        <v>0</v>
      </c>
      <c r="S36" s="148">
        <f t="shared" si="5"/>
        <v>0</v>
      </c>
      <c r="T36" s="148">
        <f t="shared" si="5"/>
        <v>0</v>
      </c>
      <c r="U36" s="148">
        <f t="shared" si="5"/>
        <v>0</v>
      </c>
      <c r="V36" s="148">
        <f t="shared" si="5"/>
        <v>0</v>
      </c>
      <c r="W36" s="148">
        <f t="shared" si="5"/>
        <v>0</v>
      </c>
    </row>
    <row r="37" spans="1:23" s="212" customFormat="1" ht="12.75" customHeight="1" outlineLevel="1">
      <c r="A37" s="284"/>
      <c r="B37" s="284"/>
      <c r="C37" s="285"/>
      <c r="D37" s="286"/>
      <c r="E37" s="207" t="str">
        <f xml:space="preserve"> Time!E$127</f>
        <v>Financial year ending</v>
      </c>
      <c r="F37" s="207">
        <f xml:space="preserve"> Time!F$127</f>
        <v>0</v>
      </c>
      <c r="G37" s="207" t="str">
        <f xml:space="preserve"> Time!G$127</f>
        <v>year #</v>
      </c>
      <c r="H37" s="207">
        <f xml:space="preserve"> Time!H$127</f>
        <v>0</v>
      </c>
      <c r="I37" s="207">
        <f xml:space="preserve"> Time!I$127</f>
        <v>0</v>
      </c>
      <c r="J37" s="207">
        <f xml:space="preserve"> Time!J$127</f>
        <v>2015</v>
      </c>
      <c r="K37" s="207">
        <f xml:space="preserve"> Time!K$127</f>
        <v>2016</v>
      </c>
      <c r="L37" s="207">
        <f xml:space="preserve"> Time!L$127</f>
        <v>2017</v>
      </c>
      <c r="M37" s="207">
        <f xml:space="preserve"> Time!M$127</f>
        <v>2018</v>
      </c>
      <c r="N37" s="207">
        <f xml:space="preserve"> Time!N$127</f>
        <v>2019</v>
      </c>
      <c r="O37" s="207">
        <f xml:space="preserve"> Time!O$127</f>
        <v>2020</v>
      </c>
      <c r="P37" s="207">
        <f xml:space="preserve"> Time!P$127</f>
        <v>2021</v>
      </c>
      <c r="Q37" s="207">
        <f xml:space="preserve"> Time!Q$127</f>
        <v>2022</v>
      </c>
      <c r="R37" s="207">
        <f xml:space="preserve"> Time!R$127</f>
        <v>2023</v>
      </c>
      <c r="S37" s="207">
        <f xml:space="preserve"> Time!S$127</f>
        <v>2024</v>
      </c>
      <c r="T37" s="207">
        <f xml:space="preserve"> Time!T$127</f>
        <v>2025</v>
      </c>
      <c r="U37" s="207">
        <f xml:space="preserve"> Time!U$127</f>
        <v>2026</v>
      </c>
      <c r="V37" s="207">
        <f xml:space="preserve"> Time!V$127</f>
        <v>2027</v>
      </c>
      <c r="W37" s="207">
        <f xml:space="preserve"> Time!W$127</f>
        <v>2028</v>
      </c>
    </row>
    <row r="38" spans="1:23" s="6" customFormat="1" ht="12.75" customHeight="1" outlineLevel="1" thickBot="1">
      <c r="A38" s="64"/>
      <c r="B38" s="64"/>
      <c r="C38" s="62"/>
      <c r="D38" s="159"/>
      <c r="E38" s="219" t="s">
        <v>305</v>
      </c>
      <c r="F38" s="223"/>
      <c r="G38" s="223" t="s">
        <v>97</v>
      </c>
      <c r="H38" s="287">
        <f xml:space="preserve"> SUM(J38:W38)</f>
        <v>0</v>
      </c>
      <c r="I38" s="223"/>
      <c r="J38" s="288">
        <f t="shared" ref="J38:O38" si="6" xml:space="preserve"> SUMIF($J37:$W37, J37 - $F35, $J36:$W36)</f>
        <v>0</v>
      </c>
      <c r="K38" s="288">
        <f t="shared" si="6"/>
        <v>0</v>
      </c>
      <c r="L38" s="288">
        <f xml:space="preserve"> SUMIF($J37:$W37, L37 - $F35, $J36:$W36)</f>
        <v>0</v>
      </c>
      <c r="M38" s="288">
        <f t="shared" si="6"/>
        <v>0</v>
      </c>
      <c r="N38" s="288">
        <f xml:space="preserve"> SUMIF($J37:$W37, N37 - $F35, $J36:$W36)</f>
        <v>0</v>
      </c>
      <c r="O38" s="288">
        <f t="shared" si="6"/>
        <v>0</v>
      </c>
      <c r="P38" s="288">
        <f t="shared" ref="P38:W38" si="7" xml:space="preserve"> SUMIF($J37:$W37, P37 - $F35, $J36:$W36)</f>
        <v>0</v>
      </c>
      <c r="Q38" s="288">
        <f t="shared" si="7"/>
        <v>0</v>
      </c>
      <c r="R38" s="288">
        <f t="shared" si="7"/>
        <v>0</v>
      </c>
      <c r="S38" s="288">
        <f t="shared" si="7"/>
        <v>0</v>
      </c>
      <c r="T38" s="288">
        <f t="shared" si="7"/>
        <v>0</v>
      </c>
      <c r="U38" s="288">
        <f t="shared" si="7"/>
        <v>0</v>
      </c>
      <c r="V38" s="288">
        <f t="shared" si="7"/>
        <v>0</v>
      </c>
      <c r="W38" s="288">
        <f t="shared" si="7"/>
        <v>0</v>
      </c>
    </row>
    <row r="39" spans="1:23" s="6" customFormat="1" ht="12.75" customHeight="1" thickTop="1">
      <c r="A39" s="64"/>
      <c r="B39" s="64"/>
      <c r="C39" s="62"/>
      <c r="D39" s="159"/>
      <c r="E39" s="153"/>
      <c r="F39" s="58"/>
      <c r="G39" s="58"/>
      <c r="H39" s="95"/>
      <c r="I39" s="58"/>
      <c r="J39" s="253"/>
      <c r="K39" s="253"/>
      <c r="L39" s="253"/>
      <c r="M39" s="253"/>
      <c r="N39" s="253"/>
      <c r="O39" s="253"/>
      <c r="P39" s="253"/>
      <c r="Q39" s="253"/>
      <c r="R39" s="253"/>
      <c r="S39" s="253"/>
      <c r="T39" s="253"/>
      <c r="U39" s="253"/>
      <c r="V39" s="253"/>
      <c r="W39" s="253"/>
    </row>
    <row r="40" spans="1:23" ht="12.75" customHeight="1">
      <c r="A40" s="115" t="s">
        <v>306</v>
      </c>
      <c r="B40" s="115"/>
      <c r="C40" s="114"/>
      <c r="D40" s="115"/>
      <c r="E40" s="115"/>
      <c r="F40" s="115"/>
      <c r="G40" s="115"/>
      <c r="H40" s="115"/>
      <c r="I40" s="115"/>
      <c r="J40" s="115"/>
      <c r="K40" s="115"/>
      <c r="L40" s="115"/>
      <c r="M40" s="115"/>
      <c r="N40" s="115"/>
      <c r="O40" s="115"/>
      <c r="P40" s="115"/>
      <c r="Q40" s="115"/>
      <c r="R40" s="115"/>
      <c r="S40" s="115"/>
      <c r="T40" s="115"/>
      <c r="U40" s="115"/>
      <c r="V40" s="115"/>
      <c r="W40" s="115"/>
    </row>
    <row r="41" spans="1:23" ht="12.75" customHeight="1">
      <c r="A41" s="63"/>
      <c r="C41" s="110"/>
      <c r="E41" s="113"/>
    </row>
    <row r="42" spans="1:23" s="74" customFormat="1" ht="12.75" customHeight="1" outlineLevel="1">
      <c r="A42" s="66"/>
      <c r="B42" s="66" t="s">
        <v>307</v>
      </c>
      <c r="C42" s="73"/>
      <c r="D42" s="71"/>
    </row>
    <row r="43" spans="1:23" s="74" customFormat="1" ht="12.75" customHeight="1" outlineLevel="1">
      <c r="A43" s="66"/>
      <c r="B43" s="66"/>
      <c r="C43" s="73"/>
      <c r="D43" s="71"/>
    </row>
    <row r="44" spans="1:23" s="122" customFormat="1" ht="12.75" customHeight="1" outlineLevel="1">
      <c r="A44" s="66"/>
      <c r="B44" s="66"/>
      <c r="C44" s="73"/>
      <c r="D44" s="71"/>
      <c r="E44" s="112" t="str">
        <f xml:space="preserve"> Inputs!E$105</f>
        <v>Total blind year adjustment - Water-N+ (base year 2019/2020)</v>
      </c>
      <c r="F44" s="112">
        <f xml:space="preserve"> Inputs!F$105</f>
        <v>9.8446709233791747</v>
      </c>
      <c r="G44" s="112" t="str">
        <f xml:space="preserve"> Inputs!G$105</f>
        <v>£m</v>
      </c>
      <c r="H44" s="112">
        <f xml:space="preserve"> Inputs!H$105</f>
        <v>0</v>
      </c>
      <c r="I44" s="112">
        <f xml:space="preserve"> Inputs!I$105</f>
        <v>0</v>
      </c>
      <c r="J44" s="112">
        <f xml:space="preserve"> Inputs!J$105</f>
        <v>0</v>
      </c>
      <c r="K44" s="112">
        <f xml:space="preserve"> Inputs!K$105</f>
        <v>0</v>
      </c>
      <c r="L44" s="112">
        <f xml:space="preserve"> Inputs!L$105</f>
        <v>0</v>
      </c>
      <c r="M44" s="112">
        <f xml:space="preserve"> Inputs!M$105</f>
        <v>0</v>
      </c>
      <c r="N44" s="112">
        <f xml:space="preserve"> Inputs!N$105</f>
        <v>0</v>
      </c>
      <c r="O44" s="112">
        <f xml:space="preserve"> Inputs!O$105</f>
        <v>0</v>
      </c>
      <c r="P44" s="112">
        <f xml:space="preserve"> Inputs!P$105</f>
        <v>0</v>
      </c>
      <c r="Q44" s="112">
        <f xml:space="preserve"> Inputs!Q$105</f>
        <v>0</v>
      </c>
      <c r="R44" s="112">
        <f xml:space="preserve"> Inputs!R$105</f>
        <v>0</v>
      </c>
      <c r="S44" s="112">
        <f xml:space="preserve"> Inputs!S$105</f>
        <v>0</v>
      </c>
      <c r="T44" s="112">
        <f xml:space="preserve"> Inputs!T$105</f>
        <v>0</v>
      </c>
      <c r="U44" s="112">
        <f xml:space="preserve"> Inputs!U$105</f>
        <v>0</v>
      </c>
      <c r="V44" s="112">
        <f xml:space="preserve"> Inputs!V$105</f>
        <v>0</v>
      </c>
      <c r="W44" s="112">
        <f xml:space="preserve"> Inputs!W$105</f>
        <v>0</v>
      </c>
    </row>
    <row r="45" spans="1:23" s="122" customFormat="1" ht="12.75" customHeight="1" outlineLevel="1">
      <c r="A45" s="66"/>
      <c r="B45" s="66"/>
      <c r="C45" s="73"/>
      <c r="D45" s="71"/>
      <c r="E45" s="112" t="str">
        <f xml:space="preserve"> Inputs!E$107</f>
        <v>Blind year profiling factor - Water-N+</v>
      </c>
      <c r="F45" s="112">
        <f xml:space="preserve"> Inputs!F$107</f>
        <v>0</v>
      </c>
      <c r="G45" s="112" t="str">
        <f xml:space="preserve"> Inputs!G$107</f>
        <v>%</v>
      </c>
      <c r="H45" s="36">
        <f xml:space="preserve"> Inputs!H$107</f>
        <v>1</v>
      </c>
      <c r="I45" s="36">
        <f xml:space="preserve"> Inputs!I$107</f>
        <v>0</v>
      </c>
      <c r="J45" s="36">
        <f xml:space="preserve"> Inputs!J$107</f>
        <v>0</v>
      </c>
      <c r="K45" s="36">
        <f xml:space="preserve"> Inputs!K$107</f>
        <v>0</v>
      </c>
      <c r="L45" s="36">
        <f xml:space="preserve"> Inputs!L$107</f>
        <v>0</v>
      </c>
      <c r="M45" s="36">
        <f xml:space="preserve"> Inputs!M$107</f>
        <v>0</v>
      </c>
      <c r="N45" s="36">
        <f xml:space="preserve"> Inputs!N$107</f>
        <v>0</v>
      </c>
      <c r="O45" s="36">
        <f xml:space="preserve"> Inputs!O$107</f>
        <v>0</v>
      </c>
      <c r="P45" s="36">
        <f xml:space="preserve"> Inputs!P$107</f>
        <v>0</v>
      </c>
      <c r="Q45" s="36">
        <f xml:space="preserve"> Inputs!Q$107</f>
        <v>0</v>
      </c>
      <c r="R45" s="36">
        <f xml:space="preserve"> Inputs!R$107</f>
        <v>0</v>
      </c>
      <c r="S45" s="36">
        <f xml:space="preserve"> Inputs!S$107</f>
        <v>0</v>
      </c>
      <c r="T45" s="36">
        <f xml:space="preserve"> Inputs!T$107</f>
        <v>1</v>
      </c>
      <c r="U45" s="36">
        <f xml:space="preserve"> Inputs!U$107</f>
        <v>0</v>
      </c>
      <c r="V45" s="36">
        <f xml:space="preserve"> Inputs!V$107</f>
        <v>0</v>
      </c>
      <c r="W45" s="36">
        <f xml:space="preserve"> Inputs!W$107</f>
        <v>0</v>
      </c>
    </row>
    <row r="46" spans="1:23" s="122" customFormat="1" ht="12.75" customHeight="1" outlineLevel="1">
      <c r="A46" s="66"/>
      <c r="B46" s="66"/>
      <c r="C46" s="73"/>
      <c r="D46" s="71"/>
      <c r="E46" s="129" t="s">
        <v>308</v>
      </c>
      <c r="F46" s="112"/>
      <c r="G46" s="70" t="s">
        <v>97</v>
      </c>
      <c r="H46" s="83">
        <f xml:space="preserve"> SUM(J46:W46)</f>
        <v>9.8446709233791747</v>
      </c>
      <c r="I46" s="74"/>
      <c r="J46" s="70">
        <f xml:space="preserve"> J45 * $F$44</f>
        <v>0</v>
      </c>
      <c r="K46" s="70">
        <f t="shared" ref="K46:W46" si="8" xml:space="preserve"> K45 * $F$44</f>
        <v>0</v>
      </c>
      <c r="L46" s="70">
        <f t="shared" si="8"/>
        <v>0</v>
      </c>
      <c r="M46" s="70">
        <f t="shared" si="8"/>
        <v>0</v>
      </c>
      <c r="N46" s="70">
        <f t="shared" si="8"/>
        <v>0</v>
      </c>
      <c r="O46" s="70">
        <f t="shared" si="8"/>
        <v>0</v>
      </c>
      <c r="P46" s="70">
        <f t="shared" si="8"/>
        <v>0</v>
      </c>
      <c r="Q46" s="70">
        <f t="shared" si="8"/>
        <v>0</v>
      </c>
      <c r="R46" s="70">
        <f t="shared" si="8"/>
        <v>0</v>
      </c>
      <c r="S46" s="70">
        <f t="shared" si="8"/>
        <v>0</v>
      </c>
      <c r="T46" s="70">
        <f t="shared" si="8"/>
        <v>9.8446709233791747</v>
      </c>
      <c r="U46" s="70">
        <f t="shared" si="8"/>
        <v>0</v>
      </c>
      <c r="V46" s="70">
        <f t="shared" si="8"/>
        <v>0</v>
      </c>
      <c r="W46" s="70">
        <f t="shared" si="8"/>
        <v>0</v>
      </c>
    </row>
    <row r="47" spans="1:23" s="122" customFormat="1" ht="12.75" customHeight="1" outlineLevel="1">
      <c r="A47" s="66"/>
      <c r="B47" s="66"/>
      <c r="C47" s="73"/>
      <c r="D47" s="71"/>
      <c r="E47" s="112"/>
      <c r="F47" s="112"/>
      <c r="G47" s="112"/>
      <c r="H47" s="74"/>
      <c r="I47" s="74"/>
      <c r="J47" s="74"/>
      <c r="K47" s="74"/>
      <c r="L47" s="74"/>
      <c r="M47" s="74"/>
      <c r="N47" s="74"/>
      <c r="O47" s="74"/>
      <c r="P47" s="74"/>
      <c r="Q47" s="74"/>
      <c r="R47" s="74"/>
      <c r="S47" s="74"/>
      <c r="T47" s="74"/>
      <c r="U47" s="74"/>
      <c r="V47" s="74"/>
      <c r="W47" s="74"/>
    </row>
    <row r="48" spans="1:23" s="122" customFormat="1" ht="12.75" customHeight="1" outlineLevel="1">
      <c r="A48" s="66"/>
      <c r="B48" s="66"/>
      <c r="C48" s="73"/>
      <c r="D48" s="71"/>
      <c r="E48" s="36" t="str">
        <f xml:space="preserve"> Inputs!E$63</f>
        <v>Discount rate</v>
      </c>
      <c r="F48" s="36">
        <f xml:space="preserve"> Inputs!F$63</f>
        <v>2.92E-2</v>
      </c>
      <c r="G48" s="36" t="str">
        <f xml:space="preserve"> Inputs!G$63</f>
        <v>%</v>
      </c>
      <c r="H48" s="36">
        <f xml:space="preserve"> Inputs!H$63</f>
        <v>0</v>
      </c>
      <c r="I48" s="36">
        <f xml:space="preserve"> Inputs!I$63</f>
        <v>0</v>
      </c>
      <c r="J48" s="36">
        <f xml:space="preserve"> Inputs!J$63</f>
        <v>0</v>
      </c>
      <c r="K48" s="36">
        <f xml:space="preserve"> Inputs!K$63</f>
        <v>0</v>
      </c>
      <c r="L48" s="36">
        <f xml:space="preserve"> Inputs!L$63</f>
        <v>0</v>
      </c>
      <c r="M48" s="36">
        <f xml:space="preserve"> Inputs!M$63</f>
        <v>0</v>
      </c>
      <c r="N48" s="36">
        <f xml:space="preserve"> Inputs!N$63</f>
        <v>0</v>
      </c>
      <c r="O48" s="36">
        <f xml:space="preserve"> Inputs!O$63</f>
        <v>0</v>
      </c>
      <c r="P48" s="36">
        <f xml:space="preserve"> Inputs!P$63</f>
        <v>0</v>
      </c>
      <c r="Q48" s="36">
        <f xml:space="preserve"> Inputs!Q$63</f>
        <v>0</v>
      </c>
      <c r="R48" s="36">
        <f xml:space="preserve"> Inputs!R$63</f>
        <v>0</v>
      </c>
      <c r="S48" s="36">
        <f xml:space="preserve"> Inputs!S$63</f>
        <v>0</v>
      </c>
      <c r="T48" s="36">
        <f xml:space="preserve"> Inputs!T$63</f>
        <v>0</v>
      </c>
      <c r="U48" s="36">
        <f xml:space="preserve"> Inputs!U$63</f>
        <v>0</v>
      </c>
      <c r="V48" s="36">
        <f xml:space="preserve"> Inputs!V$63</f>
        <v>0</v>
      </c>
      <c r="W48" s="36">
        <f xml:space="preserve"> Inputs!W$63</f>
        <v>0</v>
      </c>
    </row>
    <row r="49" spans="1:23" s="122" customFormat="1" ht="12.75" customHeight="1" outlineLevel="1">
      <c r="A49" s="66"/>
      <c r="B49" s="66"/>
      <c r="C49" s="73"/>
      <c r="D49" s="71"/>
      <c r="E49" s="83" t="str">
        <f xml:space="preserve"> E$46</f>
        <v>Blind year adjustment (profiled) - Water-N+ (base year 2019/20)</v>
      </c>
      <c r="F49" s="83">
        <f t="shared" ref="F49:W49" si="9" xml:space="preserve"> F$46</f>
        <v>0</v>
      </c>
      <c r="G49" s="83" t="str">
        <f t="shared" si="9"/>
        <v>£m</v>
      </c>
      <c r="H49" s="83">
        <f t="shared" si="9"/>
        <v>9.8446709233791747</v>
      </c>
      <c r="I49" s="83">
        <f t="shared" si="9"/>
        <v>0</v>
      </c>
      <c r="J49" s="83">
        <f t="shared" si="9"/>
        <v>0</v>
      </c>
      <c r="K49" s="83">
        <f t="shared" si="9"/>
        <v>0</v>
      </c>
      <c r="L49" s="83">
        <f t="shared" si="9"/>
        <v>0</v>
      </c>
      <c r="M49" s="83">
        <f t="shared" si="9"/>
        <v>0</v>
      </c>
      <c r="N49" s="83">
        <f t="shared" si="9"/>
        <v>0</v>
      </c>
      <c r="O49" s="83">
        <f t="shared" si="9"/>
        <v>0</v>
      </c>
      <c r="P49" s="83">
        <f t="shared" si="9"/>
        <v>0</v>
      </c>
      <c r="Q49" s="83">
        <f t="shared" si="9"/>
        <v>0</v>
      </c>
      <c r="R49" s="83">
        <f t="shared" si="9"/>
        <v>0</v>
      </c>
      <c r="S49" s="83">
        <f t="shared" si="9"/>
        <v>0</v>
      </c>
      <c r="T49" s="83">
        <f t="shared" si="9"/>
        <v>9.8446709233791747</v>
      </c>
      <c r="U49" s="83">
        <f t="shared" si="9"/>
        <v>0</v>
      </c>
      <c r="V49" s="83">
        <f t="shared" si="9"/>
        <v>0</v>
      </c>
      <c r="W49" s="83">
        <f t="shared" si="9"/>
        <v>0</v>
      </c>
    </row>
    <row r="50" spans="1:23" ht="12.75" customHeight="1" outlineLevel="1">
      <c r="E50" s="113" t="str">
        <f xml:space="preserve"> Time!E$63</f>
        <v>Forecast period counter</v>
      </c>
      <c r="F50" s="113">
        <f xml:space="preserve"> Time!F$63</f>
        <v>0</v>
      </c>
      <c r="G50" s="113" t="str">
        <f xml:space="preserve"> Time!G$63</f>
        <v>counter</v>
      </c>
      <c r="H50" s="113">
        <f xml:space="preserve"> Time!H$63</f>
        <v>0</v>
      </c>
      <c r="I50" s="113">
        <f xml:space="preserve"> Time!I$63</f>
        <v>0</v>
      </c>
      <c r="J50" s="113">
        <f xml:space="preserve"> Time!J$63</f>
        <v>0</v>
      </c>
      <c r="K50" s="113">
        <f xml:space="preserve"> Time!K$63</f>
        <v>0</v>
      </c>
      <c r="L50" s="113">
        <f xml:space="preserve"> Time!L$63</f>
        <v>0</v>
      </c>
      <c r="M50" s="113">
        <f xml:space="preserve"> Time!M$63</f>
        <v>0</v>
      </c>
      <c r="N50" s="113">
        <f xml:space="preserve"> Time!N$63</f>
        <v>0</v>
      </c>
      <c r="O50" s="113">
        <f xml:space="preserve"> Time!O$63</f>
        <v>0</v>
      </c>
      <c r="P50" s="113">
        <f xml:space="preserve"> Time!P$63</f>
        <v>1</v>
      </c>
      <c r="Q50" s="113">
        <f xml:space="preserve"> Time!Q$63</f>
        <v>2</v>
      </c>
      <c r="R50" s="113">
        <f xml:space="preserve"> Time!R$63</f>
        <v>3</v>
      </c>
      <c r="S50" s="113">
        <f xml:space="preserve"> Time!S$63</f>
        <v>4</v>
      </c>
      <c r="T50" s="113">
        <f xml:space="preserve"> Time!T$63</f>
        <v>5</v>
      </c>
      <c r="U50" s="113">
        <f xml:space="preserve"> Time!U$63</f>
        <v>0</v>
      </c>
      <c r="V50" s="113">
        <f xml:space="preserve"> Time!V$63</f>
        <v>0</v>
      </c>
      <c r="W50" s="113">
        <f xml:space="preserve"> Time!W$63</f>
        <v>0</v>
      </c>
    </row>
    <row r="51" spans="1:23" s="57" customFormat="1" ht="12.75" customHeight="1" outlineLevel="1">
      <c r="A51" s="64"/>
      <c r="B51" s="63"/>
      <c r="C51" s="62"/>
      <c r="D51" s="61"/>
      <c r="E51" s="101" t="s">
        <v>309</v>
      </c>
      <c r="F51" s="104"/>
      <c r="G51" s="57" t="s">
        <v>97</v>
      </c>
      <c r="H51" s="104"/>
      <c r="I51" s="104"/>
      <c r="J51" s="94">
        <f xml:space="preserve"> J49 * ( 1 + $F$48 ) ^ J50</f>
        <v>0</v>
      </c>
      <c r="K51" s="94">
        <f t="shared" ref="K51:W51" si="10" xml:space="preserve"> K49 * ( 1 + $F$48 ) ^ K50</f>
        <v>0</v>
      </c>
      <c r="L51" s="94">
        <f t="shared" si="10"/>
        <v>0</v>
      </c>
      <c r="M51" s="94">
        <f t="shared" si="10"/>
        <v>0</v>
      </c>
      <c r="N51" s="94">
        <f t="shared" si="10"/>
        <v>0</v>
      </c>
      <c r="O51" s="94">
        <f t="shared" si="10"/>
        <v>0</v>
      </c>
      <c r="P51" s="94">
        <f t="shared" si="10"/>
        <v>0</v>
      </c>
      <c r="Q51" s="94">
        <f t="shared" si="10"/>
        <v>0</v>
      </c>
      <c r="R51" s="94">
        <f t="shared" si="10"/>
        <v>0</v>
      </c>
      <c r="S51" s="94">
        <f t="shared" si="10"/>
        <v>0</v>
      </c>
      <c r="T51" s="94">
        <f t="shared" si="10"/>
        <v>11.368419510853091</v>
      </c>
      <c r="U51" s="94">
        <f t="shared" si="10"/>
        <v>0</v>
      </c>
      <c r="V51" s="94">
        <f t="shared" si="10"/>
        <v>0</v>
      </c>
      <c r="W51" s="94">
        <f t="shared" si="10"/>
        <v>0</v>
      </c>
    </row>
    <row r="52" spans="1:23" s="122" customFormat="1" ht="12.75" customHeight="1" outlineLevel="1">
      <c r="A52" s="66"/>
      <c r="B52" s="66"/>
      <c r="C52" s="73"/>
      <c r="D52" s="71"/>
      <c r="E52" s="112"/>
      <c r="F52" s="112"/>
      <c r="G52" s="112"/>
      <c r="H52" s="74"/>
      <c r="I52" s="74"/>
      <c r="J52" s="74"/>
      <c r="K52" s="74"/>
      <c r="L52" s="74"/>
      <c r="M52" s="74"/>
      <c r="N52" s="74"/>
      <c r="O52" s="74"/>
      <c r="P52" s="74"/>
      <c r="Q52" s="74"/>
      <c r="R52" s="74"/>
      <c r="S52" s="74"/>
      <c r="T52" s="74"/>
      <c r="U52" s="74"/>
      <c r="V52" s="74"/>
      <c r="W52" s="74"/>
    </row>
    <row r="53" spans="1:23" ht="12.75" customHeight="1" outlineLevel="1">
      <c r="E53" s="36" t="str">
        <f>'Indices and K factor'!E$22</f>
        <v>CPIH: Nov - Nov index (prior year) inflating from 2019/20</v>
      </c>
      <c r="F53" s="36">
        <f>'Indices and K factor'!F$22</f>
        <v>0</v>
      </c>
      <c r="G53" s="36" t="str">
        <f>'Indices and K factor'!G$22</f>
        <v>index</v>
      </c>
      <c r="H53" s="36">
        <f>'Indices and K factor'!H$22</f>
        <v>0</v>
      </c>
      <c r="I53" s="36">
        <f>'Indices and K factor'!I$22</f>
        <v>0</v>
      </c>
      <c r="J53" s="36">
        <f>'Indices and K factor'!J$22</f>
        <v>0</v>
      </c>
      <c r="K53" s="36">
        <f>'Indices and K factor'!K$22</f>
        <v>0</v>
      </c>
      <c r="L53" s="36">
        <f>'Indices and K factor'!L$22</f>
        <v>0</v>
      </c>
      <c r="M53" s="36">
        <f>'Indices and K factor'!M$22</f>
        <v>0</v>
      </c>
      <c r="N53" s="36">
        <f>'Indices and K factor'!N$22</f>
        <v>0</v>
      </c>
      <c r="O53" s="36">
        <f>'Indices and K factor'!O$22</f>
        <v>0</v>
      </c>
      <c r="P53" s="36">
        <f>'Indices and K factor'!P$22</f>
        <v>1.0149672591206735</v>
      </c>
      <c r="Q53" s="36">
        <f>'Indices and K factor'!Q$22</f>
        <v>1.020579981290926</v>
      </c>
      <c r="R53" s="36">
        <f>'Indices and K factor'!R$22</f>
        <v>1.0673526660430308</v>
      </c>
      <c r="S53" s="36">
        <f>'Indices and K factor'!S$22</f>
        <v>1.167446211412535</v>
      </c>
      <c r="T53" s="36">
        <f>'Indices and K factor'!T$22</f>
        <v>1.2165481758652947</v>
      </c>
      <c r="U53" s="36">
        <f>'Indices and K factor'!U$22</f>
        <v>0</v>
      </c>
      <c r="V53" s="36">
        <f>'Indices and K factor'!V$22</f>
        <v>0</v>
      </c>
      <c r="W53" s="36">
        <f>'Indices and K factor'!W$22</f>
        <v>0</v>
      </c>
    </row>
    <row r="54" spans="1:23" s="34" customFormat="1" ht="12.75" customHeight="1" outlineLevel="1">
      <c r="A54" s="54"/>
      <c r="B54" s="54"/>
      <c r="C54" s="52"/>
      <c r="D54" s="93"/>
      <c r="E54" s="101" t="str">
        <f t="shared" ref="E54:W54" si="11">E$51</f>
        <v>Blind year adjustment inc. financing rate adjustment - Water-N+ (base year 2019/2020)</v>
      </c>
      <c r="F54" s="101">
        <f t="shared" si="11"/>
        <v>0</v>
      </c>
      <c r="G54" s="101" t="str">
        <f t="shared" si="11"/>
        <v>£m</v>
      </c>
      <c r="H54" s="101">
        <f t="shared" si="11"/>
        <v>0</v>
      </c>
      <c r="I54" s="101">
        <f t="shared" si="11"/>
        <v>0</v>
      </c>
      <c r="J54" s="93">
        <f t="shared" si="11"/>
        <v>0</v>
      </c>
      <c r="K54" s="93">
        <f t="shared" si="11"/>
        <v>0</v>
      </c>
      <c r="L54" s="93">
        <f t="shared" si="11"/>
        <v>0</v>
      </c>
      <c r="M54" s="93">
        <f t="shared" si="11"/>
        <v>0</v>
      </c>
      <c r="N54" s="93">
        <f t="shared" si="11"/>
        <v>0</v>
      </c>
      <c r="O54" s="93">
        <f t="shared" si="11"/>
        <v>0</v>
      </c>
      <c r="P54" s="93">
        <f t="shared" si="11"/>
        <v>0</v>
      </c>
      <c r="Q54" s="93">
        <f t="shared" si="11"/>
        <v>0</v>
      </c>
      <c r="R54" s="93">
        <f t="shared" si="11"/>
        <v>0</v>
      </c>
      <c r="S54" s="93">
        <f t="shared" si="11"/>
        <v>0</v>
      </c>
      <c r="T54" s="93">
        <f t="shared" si="11"/>
        <v>11.368419510853091</v>
      </c>
      <c r="U54" s="93">
        <f t="shared" si="11"/>
        <v>0</v>
      </c>
      <c r="V54" s="93">
        <f t="shared" si="11"/>
        <v>0</v>
      </c>
      <c r="W54" s="93">
        <f t="shared" si="11"/>
        <v>0</v>
      </c>
    </row>
    <row r="55" spans="1:23" s="277" customFormat="1" ht="12.75" customHeight="1" outlineLevel="1">
      <c r="A55" s="166"/>
      <c r="B55" s="166"/>
      <c r="C55" s="167"/>
      <c r="D55" s="75"/>
      <c r="E55" s="153" t="s">
        <v>310</v>
      </c>
      <c r="F55" s="153"/>
      <c r="G55" s="153" t="s">
        <v>97</v>
      </c>
      <c r="H55" s="276">
        <f xml:space="preserve"> SUM(J55:W55)</f>
        <v>13.830230018399753</v>
      </c>
      <c r="I55" s="153"/>
      <c r="J55" s="276">
        <f xml:space="preserve"> J53 * J54</f>
        <v>0</v>
      </c>
      <c r="K55" s="276">
        <f t="shared" ref="K55:T55" si="12" xml:space="preserve"> K53 * K54</f>
        <v>0</v>
      </c>
      <c r="L55" s="276">
        <f t="shared" si="12"/>
        <v>0</v>
      </c>
      <c r="M55" s="276">
        <f t="shared" si="12"/>
        <v>0</v>
      </c>
      <c r="N55" s="276">
        <f t="shared" si="12"/>
        <v>0</v>
      </c>
      <c r="O55" s="276">
        <f t="shared" si="12"/>
        <v>0</v>
      </c>
      <c r="P55" s="276">
        <f t="shared" si="12"/>
        <v>0</v>
      </c>
      <c r="Q55" s="276">
        <f xml:space="preserve"> Q53 * Q54</f>
        <v>0</v>
      </c>
      <c r="R55" s="276">
        <f t="shared" si="12"/>
        <v>0</v>
      </c>
      <c r="S55" s="276">
        <f t="shared" si="12"/>
        <v>0</v>
      </c>
      <c r="T55" s="276">
        <f t="shared" si="12"/>
        <v>13.830230018399753</v>
      </c>
      <c r="U55" s="276">
        <f xml:space="preserve"> U53 * U54</f>
        <v>0</v>
      </c>
      <c r="V55" s="276">
        <f xml:space="preserve"> V53 * V54</f>
        <v>0</v>
      </c>
      <c r="W55" s="276">
        <f xml:space="preserve"> W53 * W54</f>
        <v>0</v>
      </c>
    </row>
    <row r="56" spans="1:23" s="277" customFormat="1" ht="12.75" customHeight="1" outlineLevel="1">
      <c r="A56" s="166"/>
      <c r="B56" s="166"/>
      <c r="C56" s="167"/>
      <c r="D56" s="75"/>
      <c r="E56" s="153"/>
      <c r="F56" s="153"/>
      <c r="G56" s="153"/>
      <c r="H56" s="276"/>
      <c r="I56" s="153"/>
      <c r="J56" s="276"/>
      <c r="K56" s="276"/>
      <c r="L56" s="276"/>
      <c r="M56" s="276"/>
      <c r="N56" s="276"/>
      <c r="O56" s="276"/>
      <c r="P56" s="276"/>
      <c r="Q56" s="276"/>
      <c r="R56" s="276"/>
      <c r="S56" s="276"/>
      <c r="T56" s="276"/>
      <c r="U56" s="276"/>
      <c r="V56" s="276"/>
      <c r="W56" s="276"/>
    </row>
    <row r="57" spans="1:23" s="129" customFormat="1" ht="12.75" customHeight="1" outlineLevel="1">
      <c r="A57" s="166"/>
      <c r="B57" s="166" t="s">
        <v>311</v>
      </c>
      <c r="C57" s="167"/>
      <c r="D57" s="75"/>
    </row>
    <row r="58" spans="1:23" s="129" customFormat="1" ht="12.75" customHeight="1" outlineLevel="1">
      <c r="A58" s="166"/>
      <c r="B58" s="166"/>
      <c r="C58" s="167"/>
      <c r="D58" s="75"/>
    </row>
    <row r="59" spans="1:23" s="123" customFormat="1" ht="12.75" customHeight="1" outlineLevel="1">
      <c r="A59" s="166"/>
      <c r="B59" s="166"/>
      <c r="C59" s="167"/>
      <c r="D59" s="75"/>
      <c r="E59" s="96" t="str">
        <f xml:space="preserve"> Inputs!E$85</f>
        <v>Total blind year adjustment - Water Res (base year 2019/2020)</v>
      </c>
      <c r="F59" s="96">
        <f xml:space="preserve"> Inputs!F$85</f>
        <v>-1.0500982318271122E-3</v>
      </c>
      <c r="G59" s="96" t="str">
        <f xml:space="preserve"> Inputs!G$85</f>
        <v>£m</v>
      </c>
      <c r="H59" s="96">
        <f xml:space="preserve"> Inputs!H$85</f>
        <v>0</v>
      </c>
      <c r="I59" s="96">
        <f xml:space="preserve"> Inputs!I$85</f>
        <v>0</v>
      </c>
      <c r="J59" s="96">
        <f xml:space="preserve"> Inputs!J$85</f>
        <v>0</v>
      </c>
      <c r="K59" s="96">
        <f xml:space="preserve"> Inputs!K$85</f>
        <v>0</v>
      </c>
      <c r="L59" s="96">
        <f xml:space="preserve"> Inputs!L$85</f>
        <v>0</v>
      </c>
      <c r="M59" s="96">
        <f xml:space="preserve"> Inputs!M$85</f>
        <v>0</v>
      </c>
      <c r="N59" s="96">
        <f xml:space="preserve"> Inputs!N$85</f>
        <v>0</v>
      </c>
      <c r="O59" s="96">
        <f xml:space="preserve"> Inputs!O$85</f>
        <v>0</v>
      </c>
      <c r="P59" s="96">
        <f xml:space="preserve"> Inputs!P$85</f>
        <v>0</v>
      </c>
      <c r="Q59" s="96">
        <f xml:space="preserve"> Inputs!Q$85</f>
        <v>0</v>
      </c>
      <c r="R59" s="96">
        <f xml:space="preserve"> Inputs!R$85</f>
        <v>0</v>
      </c>
      <c r="S59" s="96">
        <f xml:space="preserve"> Inputs!S$85</f>
        <v>0</v>
      </c>
      <c r="T59" s="96">
        <f xml:space="preserve"> Inputs!T$85</f>
        <v>0</v>
      </c>
      <c r="U59" s="96">
        <f xml:space="preserve"> Inputs!U$85</f>
        <v>0</v>
      </c>
      <c r="V59" s="96">
        <f xml:space="preserve"> Inputs!V$85</f>
        <v>0</v>
      </c>
      <c r="W59" s="96">
        <f xml:space="preserve"> Inputs!W$85</f>
        <v>0</v>
      </c>
    </row>
    <row r="60" spans="1:23" s="123" customFormat="1" ht="12.75" customHeight="1" outlineLevel="1">
      <c r="A60" s="166"/>
      <c r="B60" s="166"/>
      <c r="C60" s="167"/>
      <c r="D60" s="75"/>
      <c r="E60" s="96" t="str">
        <f xml:space="preserve"> Inputs!E$87</f>
        <v>Blind year profiling factor - Water Res</v>
      </c>
      <c r="F60" s="96">
        <f xml:space="preserve"> Inputs!F$87</f>
        <v>0</v>
      </c>
      <c r="G60" s="96" t="str">
        <f xml:space="preserve"> Inputs!G$87</f>
        <v>%</v>
      </c>
      <c r="H60" s="96">
        <f xml:space="preserve"> Inputs!H$87</f>
        <v>1</v>
      </c>
      <c r="I60" s="96">
        <f xml:space="preserve"> Inputs!I$87</f>
        <v>0</v>
      </c>
      <c r="J60" s="96">
        <f xml:space="preserve"> Inputs!J$87</f>
        <v>0</v>
      </c>
      <c r="K60" s="96">
        <f xml:space="preserve"> Inputs!K$87</f>
        <v>0</v>
      </c>
      <c r="L60" s="96">
        <f xml:space="preserve"> Inputs!L$87</f>
        <v>0</v>
      </c>
      <c r="M60" s="96">
        <f xml:space="preserve"> Inputs!M$87</f>
        <v>0</v>
      </c>
      <c r="N60" s="96">
        <f xml:space="preserve"> Inputs!N$87</f>
        <v>0</v>
      </c>
      <c r="O60" s="96">
        <f xml:space="preserve"> Inputs!O$87</f>
        <v>0</v>
      </c>
      <c r="P60" s="96">
        <f xml:space="preserve"> Inputs!P$87</f>
        <v>0</v>
      </c>
      <c r="Q60" s="96">
        <f xml:space="preserve"> Inputs!Q$87</f>
        <v>0</v>
      </c>
      <c r="R60" s="96">
        <f xml:space="preserve"> Inputs!R$87</f>
        <v>0</v>
      </c>
      <c r="S60" s="96">
        <f xml:space="preserve"> Inputs!S$87</f>
        <v>0</v>
      </c>
      <c r="T60" s="96">
        <f xml:space="preserve"> Inputs!T$87</f>
        <v>1</v>
      </c>
      <c r="U60" s="96">
        <f xml:space="preserve"> Inputs!U$87</f>
        <v>0</v>
      </c>
      <c r="V60" s="96">
        <f xml:space="preserve"> Inputs!V$87</f>
        <v>0</v>
      </c>
      <c r="W60" s="96">
        <f xml:space="preserve"> Inputs!W$87</f>
        <v>0</v>
      </c>
    </row>
    <row r="61" spans="1:23" s="123" customFormat="1" ht="12.75" customHeight="1" outlineLevel="1">
      <c r="A61" s="166"/>
      <c r="B61" s="166"/>
      <c r="C61" s="167"/>
      <c r="D61" s="75"/>
      <c r="E61" s="129" t="s">
        <v>312</v>
      </c>
      <c r="F61" s="96"/>
      <c r="G61" s="148" t="s">
        <v>97</v>
      </c>
      <c r="H61" s="86">
        <f xml:space="preserve"> SUM( J61:W61 )</f>
        <v>-1.0500982318271122E-3</v>
      </c>
      <c r="I61" s="129"/>
      <c r="J61" s="148">
        <f xml:space="preserve"> J60 * $F$59</f>
        <v>0</v>
      </c>
      <c r="K61" s="148">
        <f t="shared" ref="K61:W61" si="13" xml:space="preserve"> K60 * $F$59</f>
        <v>0</v>
      </c>
      <c r="L61" s="148">
        <f t="shared" si="13"/>
        <v>0</v>
      </c>
      <c r="M61" s="148">
        <f t="shared" si="13"/>
        <v>0</v>
      </c>
      <c r="N61" s="148">
        <f t="shared" si="13"/>
        <v>0</v>
      </c>
      <c r="O61" s="148">
        <f t="shared" si="13"/>
        <v>0</v>
      </c>
      <c r="P61" s="148">
        <f t="shared" si="13"/>
        <v>0</v>
      </c>
      <c r="Q61" s="148">
        <f t="shared" si="13"/>
        <v>0</v>
      </c>
      <c r="R61" s="148">
        <f t="shared" si="13"/>
        <v>0</v>
      </c>
      <c r="S61" s="148">
        <f t="shared" si="13"/>
        <v>0</v>
      </c>
      <c r="T61" s="148">
        <f t="shared" si="13"/>
        <v>-1.0500982318271122E-3</v>
      </c>
      <c r="U61" s="148">
        <f t="shared" si="13"/>
        <v>0</v>
      </c>
      <c r="V61" s="148">
        <f t="shared" si="13"/>
        <v>0</v>
      </c>
      <c r="W61" s="148">
        <f t="shared" si="13"/>
        <v>0</v>
      </c>
    </row>
    <row r="62" spans="1:23" s="123" customFormat="1" ht="12.75" customHeight="1" outlineLevel="1">
      <c r="A62" s="166"/>
      <c r="B62" s="166"/>
      <c r="C62" s="167"/>
      <c r="D62" s="75"/>
      <c r="E62" s="96"/>
      <c r="F62" s="96"/>
      <c r="G62" s="96"/>
      <c r="H62" s="129"/>
      <c r="I62" s="129"/>
      <c r="J62" s="129"/>
      <c r="K62" s="129"/>
      <c r="L62" s="129"/>
      <c r="M62" s="129"/>
      <c r="N62" s="129"/>
      <c r="O62" s="129"/>
      <c r="P62" s="129"/>
      <c r="Q62" s="129"/>
      <c r="R62" s="129"/>
      <c r="S62" s="129"/>
      <c r="T62" s="129"/>
      <c r="U62" s="129"/>
      <c r="V62" s="129"/>
      <c r="W62" s="129"/>
    </row>
    <row r="63" spans="1:23" s="123" customFormat="1" ht="12.75" customHeight="1" outlineLevel="1">
      <c r="A63" s="166"/>
      <c r="B63" s="166"/>
      <c r="C63" s="167"/>
      <c r="D63" s="75"/>
      <c r="E63" s="43" t="str">
        <f xml:space="preserve"> Inputs!E$63</f>
        <v>Discount rate</v>
      </c>
      <c r="F63" s="43">
        <f xml:space="preserve"> Inputs!F$63</f>
        <v>2.92E-2</v>
      </c>
      <c r="G63" s="43" t="str">
        <f xml:space="preserve"> Inputs!G$63</f>
        <v>%</v>
      </c>
      <c r="H63" s="43">
        <f xml:space="preserve"> Inputs!H$63</f>
        <v>0</v>
      </c>
      <c r="I63" s="43">
        <f xml:space="preserve"> Inputs!I$63</f>
        <v>0</v>
      </c>
      <c r="J63" s="43">
        <f xml:space="preserve"> Inputs!J$63</f>
        <v>0</v>
      </c>
      <c r="K63" s="43">
        <f xml:space="preserve"> Inputs!K$63</f>
        <v>0</v>
      </c>
      <c r="L63" s="43">
        <f xml:space="preserve"> Inputs!L$63</f>
        <v>0</v>
      </c>
      <c r="M63" s="43">
        <f xml:space="preserve"> Inputs!M$63</f>
        <v>0</v>
      </c>
      <c r="N63" s="43">
        <f xml:space="preserve"> Inputs!N$63</f>
        <v>0</v>
      </c>
      <c r="O63" s="43">
        <f xml:space="preserve"> Inputs!O$63</f>
        <v>0</v>
      </c>
      <c r="P63" s="43">
        <f xml:space="preserve"> Inputs!P$63</f>
        <v>0</v>
      </c>
      <c r="Q63" s="43">
        <f xml:space="preserve"> Inputs!Q$63</f>
        <v>0</v>
      </c>
      <c r="R63" s="43">
        <f xml:space="preserve"> Inputs!R$63</f>
        <v>0</v>
      </c>
      <c r="S63" s="43">
        <f xml:space="preserve"> Inputs!S$63</f>
        <v>0</v>
      </c>
      <c r="T63" s="43">
        <f xml:space="preserve"> Inputs!T$63</f>
        <v>0</v>
      </c>
      <c r="U63" s="43">
        <f xml:space="preserve"> Inputs!U$63</f>
        <v>0</v>
      </c>
      <c r="V63" s="43">
        <f xml:space="preserve"> Inputs!V$63</f>
        <v>0</v>
      </c>
      <c r="W63" s="43">
        <f xml:space="preserve"> Inputs!W$63</f>
        <v>0</v>
      </c>
    </row>
    <row r="64" spans="1:23" s="123" customFormat="1" ht="12.75" customHeight="1" outlineLevel="1">
      <c r="A64" s="166"/>
      <c r="B64" s="166"/>
      <c r="C64" s="167"/>
      <c r="D64" s="75"/>
      <c r="E64" s="86" t="str">
        <f xml:space="preserve"> E$61</f>
        <v>Blind year adjustment (profiled) - Water Res (base year 2019/20)</v>
      </c>
      <c r="F64" s="86">
        <f t="shared" ref="F64:W64" si="14" xml:space="preserve"> F$61</f>
        <v>0</v>
      </c>
      <c r="G64" s="86" t="str">
        <f t="shared" si="14"/>
        <v>£m</v>
      </c>
      <c r="H64" s="86">
        <f t="shared" si="14"/>
        <v>-1.0500982318271122E-3</v>
      </c>
      <c r="I64" s="86">
        <f t="shared" si="14"/>
        <v>0</v>
      </c>
      <c r="J64" s="86">
        <f t="shared" si="14"/>
        <v>0</v>
      </c>
      <c r="K64" s="86">
        <f t="shared" si="14"/>
        <v>0</v>
      </c>
      <c r="L64" s="86">
        <f t="shared" si="14"/>
        <v>0</v>
      </c>
      <c r="M64" s="86">
        <f t="shared" si="14"/>
        <v>0</v>
      </c>
      <c r="N64" s="86">
        <f t="shared" si="14"/>
        <v>0</v>
      </c>
      <c r="O64" s="86">
        <f t="shared" si="14"/>
        <v>0</v>
      </c>
      <c r="P64" s="86">
        <f t="shared" si="14"/>
        <v>0</v>
      </c>
      <c r="Q64" s="86">
        <f t="shared" si="14"/>
        <v>0</v>
      </c>
      <c r="R64" s="86">
        <f t="shared" si="14"/>
        <v>0</v>
      </c>
      <c r="S64" s="86">
        <f t="shared" si="14"/>
        <v>0</v>
      </c>
      <c r="T64" s="86">
        <f t="shared" si="14"/>
        <v>-1.0500982318271122E-3</v>
      </c>
      <c r="U64" s="86">
        <f t="shared" si="14"/>
        <v>0</v>
      </c>
      <c r="V64" s="86">
        <f t="shared" si="14"/>
        <v>0</v>
      </c>
      <c r="W64" s="86">
        <f t="shared" si="14"/>
        <v>0</v>
      </c>
    </row>
    <row r="65" spans="1:23" s="6" customFormat="1" ht="12.75" customHeight="1" outlineLevel="1">
      <c r="A65" s="64"/>
      <c r="B65" s="64"/>
      <c r="C65" s="62"/>
      <c r="D65" s="159"/>
      <c r="E65" s="204" t="str">
        <f xml:space="preserve"> Time!E$63</f>
        <v>Forecast period counter</v>
      </c>
      <c r="F65" s="204">
        <f xml:space="preserve"> Time!F$63</f>
        <v>0</v>
      </c>
      <c r="G65" s="204" t="str">
        <f xml:space="preserve"> Time!G$63</f>
        <v>counter</v>
      </c>
      <c r="H65" s="204">
        <f xml:space="preserve"> Time!H$63</f>
        <v>0</v>
      </c>
      <c r="I65" s="204">
        <f xml:space="preserve"> Time!I$63</f>
        <v>0</v>
      </c>
      <c r="J65" s="204">
        <f xml:space="preserve"> Time!J$63</f>
        <v>0</v>
      </c>
      <c r="K65" s="204">
        <f xml:space="preserve"> Time!K$63</f>
        <v>0</v>
      </c>
      <c r="L65" s="204">
        <f xml:space="preserve"> Time!L$63</f>
        <v>0</v>
      </c>
      <c r="M65" s="204">
        <f xml:space="preserve"> Time!M$63</f>
        <v>0</v>
      </c>
      <c r="N65" s="204">
        <f xml:space="preserve"> Time!N$63</f>
        <v>0</v>
      </c>
      <c r="O65" s="204">
        <f xml:space="preserve"> Time!O$63</f>
        <v>0</v>
      </c>
      <c r="P65" s="204">
        <f xml:space="preserve"> Time!P$63</f>
        <v>1</v>
      </c>
      <c r="Q65" s="204">
        <f xml:space="preserve"> Time!Q$63</f>
        <v>2</v>
      </c>
      <c r="R65" s="204">
        <f xml:space="preserve"> Time!R$63</f>
        <v>3</v>
      </c>
      <c r="S65" s="204">
        <f xml:space="preserve"> Time!S$63</f>
        <v>4</v>
      </c>
      <c r="T65" s="204">
        <f xml:space="preserve"> Time!T$63</f>
        <v>5</v>
      </c>
      <c r="U65" s="204">
        <f xml:space="preserve"> Time!U$63</f>
        <v>0</v>
      </c>
      <c r="V65" s="204">
        <f xml:space="preserve"> Time!V$63</f>
        <v>0</v>
      </c>
      <c r="W65" s="204">
        <f xml:space="preserve"> Time!W$63</f>
        <v>0</v>
      </c>
    </row>
    <row r="66" spans="1:23" s="101" customFormat="1" ht="12.75" customHeight="1" outlineLevel="1">
      <c r="A66" s="64"/>
      <c r="B66" s="64"/>
      <c r="C66" s="62"/>
      <c r="D66" s="159"/>
      <c r="E66" s="101" t="s">
        <v>313</v>
      </c>
      <c r="F66" s="48"/>
      <c r="G66" s="101" t="s">
        <v>97</v>
      </c>
      <c r="H66" s="93">
        <f xml:space="preserve"> SUM( J66:W66 )</f>
        <v>-1.2126314144909967E-3</v>
      </c>
      <c r="I66" s="48"/>
      <c r="J66" s="93">
        <f xml:space="preserve"> J64 * ( 1 + $F$63 ) ^ J65</f>
        <v>0</v>
      </c>
      <c r="K66" s="93">
        <f t="shared" ref="K66:W66" si="15" xml:space="preserve"> K64 * ( 1 + $F$63 ) ^ K65</f>
        <v>0</v>
      </c>
      <c r="L66" s="93">
        <f t="shared" si="15"/>
        <v>0</v>
      </c>
      <c r="M66" s="93">
        <f t="shared" si="15"/>
        <v>0</v>
      </c>
      <c r="N66" s="93">
        <f t="shared" si="15"/>
        <v>0</v>
      </c>
      <c r="O66" s="93">
        <f t="shared" si="15"/>
        <v>0</v>
      </c>
      <c r="P66" s="93">
        <f t="shared" si="15"/>
        <v>0</v>
      </c>
      <c r="Q66" s="93">
        <f t="shared" si="15"/>
        <v>0</v>
      </c>
      <c r="R66" s="93">
        <f t="shared" si="15"/>
        <v>0</v>
      </c>
      <c r="S66" s="93">
        <f t="shared" si="15"/>
        <v>0</v>
      </c>
      <c r="T66" s="93">
        <f t="shared" si="15"/>
        <v>-1.2126314144909967E-3</v>
      </c>
      <c r="U66" s="93">
        <f t="shared" si="15"/>
        <v>0</v>
      </c>
      <c r="V66" s="93">
        <f t="shared" si="15"/>
        <v>0</v>
      </c>
      <c r="W66" s="93">
        <f t="shared" si="15"/>
        <v>0</v>
      </c>
    </row>
    <row r="67" spans="1:23" s="123" customFormat="1" ht="12.75" customHeight="1" outlineLevel="1">
      <c r="A67" s="166"/>
      <c r="B67" s="166"/>
      <c r="C67" s="167"/>
      <c r="D67" s="75"/>
      <c r="E67" s="96"/>
      <c r="F67" s="96"/>
      <c r="G67" s="96"/>
      <c r="H67" s="129"/>
      <c r="I67" s="129"/>
      <c r="J67" s="129"/>
      <c r="K67" s="129"/>
      <c r="L67" s="129"/>
      <c r="M67" s="129"/>
      <c r="N67" s="129"/>
      <c r="O67" s="129"/>
      <c r="P67" s="129"/>
      <c r="Q67" s="129"/>
      <c r="R67" s="129"/>
      <c r="S67" s="129"/>
      <c r="T67" s="129"/>
      <c r="U67" s="129"/>
      <c r="V67" s="129"/>
      <c r="W67" s="129"/>
    </row>
    <row r="68" spans="1:23" s="6" customFormat="1" ht="12.75" customHeight="1" outlineLevel="1">
      <c r="A68" s="64"/>
      <c r="B68" s="64"/>
      <c r="C68" s="62"/>
      <c r="D68" s="159"/>
      <c r="E68" s="43" t="str">
        <f>'Indices and K factor'!E$22</f>
        <v>CPIH: Nov - Nov index (prior year) inflating from 2019/20</v>
      </c>
      <c r="F68" s="43">
        <f>'Indices and K factor'!F$22</f>
        <v>0</v>
      </c>
      <c r="G68" s="43" t="str">
        <f>'Indices and K factor'!G$22</f>
        <v>index</v>
      </c>
      <c r="H68" s="43">
        <f>'Indices and K factor'!H$22</f>
        <v>0</v>
      </c>
      <c r="I68" s="43">
        <f>'Indices and K factor'!I$22</f>
        <v>0</v>
      </c>
      <c r="J68" s="43">
        <f>'Indices and K factor'!J$22</f>
        <v>0</v>
      </c>
      <c r="K68" s="43">
        <f>'Indices and K factor'!K$22</f>
        <v>0</v>
      </c>
      <c r="L68" s="43">
        <f>'Indices and K factor'!L$22</f>
        <v>0</v>
      </c>
      <c r="M68" s="43">
        <f>'Indices and K factor'!M$22</f>
        <v>0</v>
      </c>
      <c r="N68" s="43">
        <f>'Indices and K factor'!N$22</f>
        <v>0</v>
      </c>
      <c r="O68" s="43">
        <f>'Indices and K factor'!O$22</f>
        <v>0</v>
      </c>
      <c r="P68" s="43">
        <f>'Indices and K factor'!P$22</f>
        <v>1.0149672591206735</v>
      </c>
      <c r="Q68" s="43">
        <f>'Indices and K factor'!Q$22</f>
        <v>1.020579981290926</v>
      </c>
      <c r="R68" s="43">
        <f>'Indices and K factor'!R$22</f>
        <v>1.0673526660430308</v>
      </c>
      <c r="S68" s="43">
        <f>'Indices and K factor'!S$22</f>
        <v>1.167446211412535</v>
      </c>
      <c r="T68" s="43">
        <f>'Indices and K factor'!T$22</f>
        <v>1.2165481758652947</v>
      </c>
      <c r="U68" s="43">
        <f>'Indices and K factor'!U$22</f>
        <v>0</v>
      </c>
      <c r="V68" s="43">
        <f>'Indices and K factor'!V$22</f>
        <v>0</v>
      </c>
      <c r="W68" s="43">
        <f>'Indices and K factor'!W$22</f>
        <v>0</v>
      </c>
    </row>
    <row r="69" spans="1:23" s="34" customFormat="1" ht="12.75" customHeight="1" outlineLevel="1">
      <c r="A69" s="54"/>
      <c r="B69" s="54"/>
      <c r="C69" s="52"/>
      <c r="D69" s="93"/>
      <c r="E69" s="101" t="str">
        <f xml:space="preserve"> E$66</f>
        <v>Blind year adjustment inc. financing rate adjustment - Water Res (base year 2019/2020)</v>
      </c>
      <c r="F69" s="101">
        <f t="shared" ref="F69:W69" si="16" xml:space="preserve"> F$66</f>
        <v>0</v>
      </c>
      <c r="G69" s="101" t="str">
        <f t="shared" si="16"/>
        <v>£m</v>
      </c>
      <c r="H69" s="93">
        <f t="shared" si="16"/>
        <v>-1.2126314144909967E-3</v>
      </c>
      <c r="I69" s="93">
        <f t="shared" si="16"/>
        <v>0</v>
      </c>
      <c r="J69" s="93">
        <f t="shared" si="16"/>
        <v>0</v>
      </c>
      <c r="K69" s="93">
        <f t="shared" si="16"/>
        <v>0</v>
      </c>
      <c r="L69" s="93">
        <f t="shared" si="16"/>
        <v>0</v>
      </c>
      <c r="M69" s="93">
        <f t="shared" si="16"/>
        <v>0</v>
      </c>
      <c r="N69" s="93">
        <f t="shared" si="16"/>
        <v>0</v>
      </c>
      <c r="O69" s="93">
        <f t="shared" si="16"/>
        <v>0</v>
      </c>
      <c r="P69" s="93">
        <f t="shared" si="16"/>
        <v>0</v>
      </c>
      <c r="Q69" s="93">
        <f t="shared" si="16"/>
        <v>0</v>
      </c>
      <c r="R69" s="93">
        <f t="shared" si="16"/>
        <v>0</v>
      </c>
      <c r="S69" s="93">
        <f t="shared" si="16"/>
        <v>0</v>
      </c>
      <c r="T69" s="93">
        <f t="shared" si="16"/>
        <v>-1.2126314144909967E-3</v>
      </c>
      <c r="U69" s="93">
        <f t="shared" si="16"/>
        <v>0</v>
      </c>
      <c r="V69" s="93">
        <f t="shared" si="16"/>
        <v>0</v>
      </c>
      <c r="W69" s="93">
        <f t="shared" si="16"/>
        <v>0</v>
      </c>
    </row>
    <row r="70" spans="1:23" s="277" customFormat="1" ht="12.75" customHeight="1" outlineLevel="1">
      <c r="A70" s="166"/>
      <c r="B70" s="166"/>
      <c r="C70" s="167"/>
      <c r="D70" s="75"/>
      <c r="E70" s="153" t="s">
        <v>314</v>
      </c>
      <c r="F70" s="153"/>
      <c r="G70" s="153" t="s">
        <v>97</v>
      </c>
      <c r="H70" s="276">
        <f xml:space="preserve"> SUM( J70:W70 )</f>
        <v>-1.4752245352959742E-3</v>
      </c>
      <c r="I70" s="153"/>
      <c r="J70" s="276">
        <f xml:space="preserve"> J68 * J69</f>
        <v>0</v>
      </c>
      <c r="K70" s="276">
        <f t="shared" ref="K70:W70" si="17" xml:space="preserve"> K68 * K69</f>
        <v>0</v>
      </c>
      <c r="L70" s="276">
        <f t="shared" si="17"/>
        <v>0</v>
      </c>
      <c r="M70" s="276">
        <f t="shared" si="17"/>
        <v>0</v>
      </c>
      <c r="N70" s="276">
        <f t="shared" si="17"/>
        <v>0</v>
      </c>
      <c r="O70" s="276">
        <f t="shared" si="17"/>
        <v>0</v>
      </c>
      <c r="P70" s="276">
        <f t="shared" si="17"/>
        <v>0</v>
      </c>
      <c r="Q70" s="276">
        <f xml:space="preserve"> Q68 * Q69</f>
        <v>0</v>
      </c>
      <c r="R70" s="276">
        <f t="shared" si="17"/>
        <v>0</v>
      </c>
      <c r="S70" s="276">
        <f t="shared" si="17"/>
        <v>0</v>
      </c>
      <c r="T70" s="276">
        <f t="shared" si="17"/>
        <v>-1.4752245352959742E-3</v>
      </c>
      <c r="U70" s="276">
        <f t="shared" si="17"/>
        <v>0</v>
      </c>
      <c r="V70" s="276">
        <f t="shared" si="17"/>
        <v>0</v>
      </c>
      <c r="W70" s="276">
        <f t="shared" si="17"/>
        <v>0</v>
      </c>
    </row>
    <row r="71" spans="1:23" s="277" customFormat="1" ht="12.75" customHeight="1" outlineLevel="1">
      <c r="A71" s="166"/>
      <c r="B71" s="166"/>
      <c r="C71" s="167"/>
      <c r="D71" s="75"/>
      <c r="E71" s="153"/>
      <c r="F71" s="153"/>
      <c r="G71" s="153"/>
      <c r="H71" s="276"/>
      <c r="I71" s="153"/>
      <c r="J71" s="276"/>
      <c r="K71" s="276"/>
      <c r="L71" s="276"/>
      <c r="M71" s="276"/>
      <c r="N71" s="276"/>
      <c r="O71" s="276"/>
      <c r="P71" s="276"/>
      <c r="Q71" s="276"/>
      <c r="R71" s="276"/>
      <c r="S71" s="276"/>
      <c r="T71" s="276"/>
      <c r="U71" s="276"/>
      <c r="V71" s="276"/>
      <c r="W71" s="276"/>
    </row>
    <row r="72" spans="1:23" ht="12.75" customHeight="1">
      <c r="A72" s="115" t="s">
        <v>315</v>
      </c>
      <c r="B72" s="115"/>
      <c r="C72" s="114"/>
      <c r="D72" s="115"/>
      <c r="E72" s="115"/>
      <c r="F72" s="115"/>
      <c r="G72" s="115"/>
      <c r="H72" s="115"/>
      <c r="I72" s="115"/>
      <c r="J72" s="115"/>
      <c r="K72" s="115"/>
      <c r="L72" s="115"/>
      <c r="M72" s="115"/>
      <c r="N72" s="115"/>
      <c r="O72" s="115"/>
      <c r="P72" s="115"/>
      <c r="Q72" s="115"/>
      <c r="R72" s="115"/>
      <c r="S72" s="115"/>
      <c r="T72" s="115"/>
      <c r="U72" s="115"/>
      <c r="V72" s="115"/>
      <c r="W72" s="115"/>
    </row>
    <row r="73" spans="1:23" ht="12.75" customHeight="1">
      <c r="A73" s="63"/>
      <c r="C73" s="110"/>
      <c r="E73" s="113"/>
    </row>
    <row r="74" spans="1:23" s="74" customFormat="1" ht="12.75" customHeight="1">
      <c r="A74" s="66"/>
      <c r="B74" s="66" t="s">
        <v>316</v>
      </c>
      <c r="C74" s="73"/>
      <c r="D74" s="71"/>
    </row>
    <row r="75" spans="1:23" s="74" customFormat="1" ht="12.75" customHeight="1">
      <c r="A75" s="66"/>
      <c r="B75" s="66"/>
      <c r="C75" s="73"/>
      <c r="D75" s="71"/>
    </row>
    <row r="76" spans="1:23" s="74" customFormat="1" ht="12.75" customHeight="1">
      <c r="A76" s="66"/>
      <c r="B76" s="66"/>
      <c r="C76" s="73"/>
      <c r="D76" s="71"/>
      <c r="E76" s="128" t="str">
        <f t="shared" ref="E76:W76" si="18" xml:space="preserve"> E$21</f>
        <v xml:space="preserve">Allowed revenue - Water-N+ </v>
      </c>
      <c r="F76" s="128">
        <f t="shared" si="18"/>
        <v>0</v>
      </c>
      <c r="G76" s="128" t="str">
        <f t="shared" si="18"/>
        <v>£m</v>
      </c>
      <c r="H76" s="35">
        <f t="shared" si="18"/>
        <v>4701.9714957920578</v>
      </c>
      <c r="I76" s="35">
        <f t="shared" si="18"/>
        <v>0</v>
      </c>
      <c r="J76" s="35">
        <f t="shared" si="18"/>
        <v>0</v>
      </c>
      <c r="K76" s="35">
        <f t="shared" si="18"/>
        <v>0</v>
      </c>
      <c r="L76" s="35">
        <f t="shared" si="18"/>
        <v>0</v>
      </c>
      <c r="M76" s="35">
        <f t="shared" si="18"/>
        <v>0</v>
      </c>
      <c r="N76" s="35">
        <f t="shared" si="18"/>
        <v>0</v>
      </c>
      <c r="O76" s="35">
        <f t="shared" si="18"/>
        <v>0</v>
      </c>
      <c r="P76" s="35">
        <f t="shared" si="18"/>
        <v>833.10366825628057</v>
      </c>
      <c r="Q76" s="35">
        <f t="shared" si="18"/>
        <v>899.69360606813086</v>
      </c>
      <c r="R76" s="35">
        <f t="shared" si="18"/>
        <v>919.87329658751764</v>
      </c>
      <c r="S76" s="35">
        <f t="shared" si="18"/>
        <v>1040.5398731602277</v>
      </c>
      <c r="T76" s="35">
        <f t="shared" si="18"/>
        <v>1008.7610517199014</v>
      </c>
      <c r="U76" s="35">
        <f t="shared" si="18"/>
        <v>0</v>
      </c>
      <c r="V76" s="35">
        <f t="shared" si="18"/>
        <v>0</v>
      </c>
      <c r="W76" s="35">
        <f t="shared" si="18"/>
        <v>0</v>
      </c>
    </row>
    <row r="77" spans="1:23" s="74" customFormat="1" ht="12.75" customHeight="1">
      <c r="A77" s="66"/>
      <c r="B77" s="66"/>
      <c r="C77" s="73"/>
      <c r="D77" s="71"/>
      <c r="E77" s="35" t="str">
        <f t="shared" ref="E77:W77" si="19" xml:space="preserve"> E$55</f>
        <v xml:space="preserve">Blind year adjustment inc. financing rate adjustment and inflation adjustment (BYA) - Water-N+ </v>
      </c>
      <c r="F77" s="35">
        <f t="shared" si="19"/>
        <v>0</v>
      </c>
      <c r="G77" s="35" t="str">
        <f t="shared" si="19"/>
        <v>£m</v>
      </c>
      <c r="H77" s="35">
        <f t="shared" si="19"/>
        <v>13.830230018399753</v>
      </c>
      <c r="I77" s="35">
        <f t="shared" si="19"/>
        <v>0</v>
      </c>
      <c r="J77" s="35">
        <f t="shared" si="19"/>
        <v>0</v>
      </c>
      <c r="K77" s="35">
        <f t="shared" si="19"/>
        <v>0</v>
      </c>
      <c r="L77" s="35">
        <f t="shared" si="19"/>
        <v>0</v>
      </c>
      <c r="M77" s="35">
        <f t="shared" si="19"/>
        <v>0</v>
      </c>
      <c r="N77" s="35">
        <f t="shared" si="19"/>
        <v>0</v>
      </c>
      <c r="O77" s="35">
        <f t="shared" si="19"/>
        <v>0</v>
      </c>
      <c r="P77" s="35">
        <f t="shared" si="19"/>
        <v>0</v>
      </c>
      <c r="Q77" s="35">
        <f t="shared" si="19"/>
        <v>0</v>
      </c>
      <c r="R77" s="35">
        <f t="shared" si="19"/>
        <v>0</v>
      </c>
      <c r="S77" s="35">
        <f t="shared" si="19"/>
        <v>0</v>
      </c>
      <c r="T77" s="35">
        <f t="shared" si="19"/>
        <v>13.830230018399753</v>
      </c>
      <c r="U77" s="35">
        <f t="shared" si="19"/>
        <v>0</v>
      </c>
      <c r="V77" s="35">
        <f t="shared" si="19"/>
        <v>0</v>
      </c>
      <c r="W77" s="35">
        <f t="shared" si="19"/>
        <v>0</v>
      </c>
    </row>
    <row r="78" spans="1:23" s="265" customFormat="1" ht="12.75" customHeight="1">
      <c r="A78" s="263"/>
      <c r="B78" s="263"/>
      <c r="C78" s="264"/>
      <c r="D78" s="68"/>
      <c r="E78" s="65" t="str">
        <f xml:space="preserve"> E$203</f>
        <v>RFI - Water-N+</v>
      </c>
      <c r="F78" s="65" t="str">
        <f t="shared" ref="F78:W78" si="20" xml:space="preserve"> F$203</f>
        <v>2 PD LK BCK</v>
      </c>
      <c r="G78" s="65" t="str">
        <f t="shared" si="20"/>
        <v>£m</v>
      </c>
      <c r="H78" s="65">
        <f t="shared" si="20"/>
        <v>88.29298767512833</v>
      </c>
      <c r="I78" s="65">
        <f t="shared" si="20"/>
        <v>0</v>
      </c>
      <c r="J78" s="65">
        <f t="shared" si="20"/>
        <v>0</v>
      </c>
      <c r="K78" s="65">
        <f t="shared" si="20"/>
        <v>0</v>
      </c>
      <c r="L78" s="65">
        <f t="shared" si="20"/>
        <v>0</v>
      </c>
      <c r="M78" s="65">
        <f t="shared" si="20"/>
        <v>0</v>
      </c>
      <c r="N78" s="65">
        <f t="shared" si="20"/>
        <v>0</v>
      </c>
      <c r="O78" s="65">
        <f t="shared" si="20"/>
        <v>0</v>
      </c>
      <c r="P78" s="65">
        <f t="shared" si="20"/>
        <v>0</v>
      </c>
      <c r="Q78" s="65">
        <f t="shared" si="20"/>
        <v>0</v>
      </c>
      <c r="R78" s="65">
        <f t="shared" si="20"/>
        <v>19.456706457107131</v>
      </c>
      <c r="S78" s="65">
        <f t="shared" si="20"/>
        <v>36.296868320865556</v>
      </c>
      <c r="T78" s="65">
        <f t="shared" si="20"/>
        <v>32.539412897155643</v>
      </c>
      <c r="U78" s="65">
        <f t="shared" si="20"/>
        <v>0</v>
      </c>
      <c r="V78" s="65">
        <f t="shared" si="20"/>
        <v>0</v>
      </c>
      <c r="W78" s="65">
        <f t="shared" si="20"/>
        <v>0</v>
      </c>
    </row>
    <row r="79" spans="1:23" s="153" customFormat="1" ht="12.75" customHeight="1" thickBot="1">
      <c r="A79" s="151"/>
      <c r="B79" s="151"/>
      <c r="C79" s="152"/>
      <c r="D79" s="278"/>
      <c r="E79" s="219" t="s">
        <v>317</v>
      </c>
      <c r="F79" s="219"/>
      <c r="G79" s="219" t="s">
        <v>97</v>
      </c>
      <c r="H79" s="225">
        <f xml:space="preserve"> SUM(J79:W79)</f>
        <v>4804.094713485586</v>
      </c>
      <c r="I79" s="225"/>
      <c r="J79" s="225">
        <f t="shared" ref="J79:W79" si="21" xml:space="preserve"> SUM(J76:J78)</f>
        <v>0</v>
      </c>
      <c r="K79" s="225">
        <f t="shared" si="21"/>
        <v>0</v>
      </c>
      <c r="L79" s="225">
        <f t="shared" si="21"/>
        <v>0</v>
      </c>
      <c r="M79" s="225">
        <f t="shared" si="21"/>
        <v>0</v>
      </c>
      <c r="N79" s="225">
        <f t="shared" si="21"/>
        <v>0</v>
      </c>
      <c r="O79" s="225">
        <f t="shared" si="21"/>
        <v>0</v>
      </c>
      <c r="P79" s="225">
        <f t="shared" si="21"/>
        <v>833.10366825628057</v>
      </c>
      <c r="Q79" s="225">
        <f t="shared" si="21"/>
        <v>899.69360606813086</v>
      </c>
      <c r="R79" s="225">
        <f t="shared" si="21"/>
        <v>939.33000304462473</v>
      </c>
      <c r="S79" s="225">
        <f t="shared" si="21"/>
        <v>1076.8367414810932</v>
      </c>
      <c r="T79" s="225">
        <f t="shared" si="21"/>
        <v>1055.1306946354568</v>
      </c>
      <c r="U79" s="225">
        <f t="shared" si="21"/>
        <v>0</v>
      </c>
      <c r="V79" s="225">
        <f t="shared" si="21"/>
        <v>0</v>
      </c>
      <c r="W79" s="225">
        <f t="shared" si="21"/>
        <v>0</v>
      </c>
    </row>
    <row r="80" spans="1:23" s="251" customFormat="1" ht="12.75" customHeight="1" thickTop="1">
      <c r="A80" s="248"/>
      <c r="B80" s="248"/>
      <c r="C80" s="249"/>
      <c r="D80" s="250"/>
      <c r="H80" s="252"/>
      <c r="I80" s="252"/>
      <c r="J80" s="252"/>
      <c r="K80" s="252"/>
      <c r="L80" s="252"/>
      <c r="M80" s="252"/>
      <c r="N80" s="252"/>
      <c r="O80" s="252"/>
      <c r="P80" s="252"/>
      <c r="Q80" s="252"/>
      <c r="R80" s="252"/>
      <c r="S80" s="252"/>
      <c r="T80" s="252"/>
      <c r="U80" s="252"/>
      <c r="V80" s="252"/>
      <c r="W80" s="252"/>
    </row>
    <row r="81" spans="1:23" s="153" customFormat="1" ht="12.75" customHeight="1">
      <c r="A81" s="151"/>
      <c r="B81" s="151"/>
      <c r="C81" s="152"/>
      <c r="D81" s="278"/>
      <c r="E81" s="128" t="str">
        <f xml:space="preserve"> E$79</f>
        <v>Adjusted allowed revenue - Water-N+</v>
      </c>
      <c r="F81" s="128">
        <f t="shared" ref="F81:W81" si="22" xml:space="preserve"> F$79</f>
        <v>0</v>
      </c>
      <c r="G81" s="128" t="str">
        <f t="shared" si="22"/>
        <v>£m</v>
      </c>
      <c r="H81" s="35">
        <f t="shared" si="22"/>
        <v>4804.094713485586</v>
      </c>
      <c r="I81" s="35">
        <f t="shared" si="22"/>
        <v>0</v>
      </c>
      <c r="J81" s="35">
        <f t="shared" si="22"/>
        <v>0</v>
      </c>
      <c r="K81" s="35">
        <f t="shared" si="22"/>
        <v>0</v>
      </c>
      <c r="L81" s="35">
        <f t="shared" si="22"/>
        <v>0</v>
      </c>
      <c r="M81" s="35">
        <f t="shared" si="22"/>
        <v>0</v>
      </c>
      <c r="N81" s="35">
        <f t="shared" si="22"/>
        <v>0</v>
      </c>
      <c r="O81" s="35">
        <f t="shared" si="22"/>
        <v>0</v>
      </c>
      <c r="P81" s="35">
        <f t="shared" si="22"/>
        <v>833.10366825628057</v>
      </c>
      <c r="Q81" s="35">
        <f t="shared" si="22"/>
        <v>899.69360606813086</v>
      </c>
      <c r="R81" s="35">
        <f t="shared" si="22"/>
        <v>939.33000304462473</v>
      </c>
      <c r="S81" s="35">
        <f t="shared" si="22"/>
        <v>1076.8367414810932</v>
      </c>
      <c r="T81" s="35">
        <f t="shared" si="22"/>
        <v>1055.1306946354568</v>
      </c>
      <c r="U81" s="35">
        <f t="shared" si="22"/>
        <v>0</v>
      </c>
      <c r="V81" s="35">
        <f t="shared" si="22"/>
        <v>0</v>
      </c>
      <c r="W81" s="35">
        <f t="shared" si="22"/>
        <v>0</v>
      </c>
    </row>
    <row r="82" spans="1:23" s="34" customFormat="1" ht="12.75" customHeight="1">
      <c r="A82" s="54"/>
      <c r="B82" s="54"/>
      <c r="C82" s="52"/>
      <c r="D82" s="159" t="s">
        <v>318</v>
      </c>
      <c r="E82" s="96" t="str">
        <f xml:space="preserve"> Inputs!E$99</f>
        <v xml:space="preserve">Actual Revenue - Water-N+ </v>
      </c>
      <c r="F82" s="96">
        <f xml:space="preserve"> Inputs!F$99</f>
        <v>0</v>
      </c>
      <c r="G82" s="96" t="str">
        <f xml:space="preserve"> Inputs!G$99</f>
        <v>£m</v>
      </c>
      <c r="H82" s="96">
        <f xml:space="preserve"> Inputs!H$99</f>
        <v>3651.6423585985667</v>
      </c>
      <c r="I82" s="96">
        <f xml:space="preserve"> Inputs!I$99</f>
        <v>0</v>
      </c>
      <c r="J82" s="96">
        <f xml:space="preserve"> Inputs!J$99</f>
        <v>0</v>
      </c>
      <c r="K82" s="96">
        <f xml:space="preserve"> Inputs!K$99</f>
        <v>0</v>
      </c>
      <c r="L82" s="96">
        <f xml:space="preserve"> Inputs!L$99</f>
        <v>0</v>
      </c>
      <c r="M82" s="96">
        <f xml:space="preserve"> Inputs!M$99</f>
        <v>0</v>
      </c>
      <c r="N82" s="96">
        <f xml:space="preserve"> Inputs!N$99</f>
        <v>0</v>
      </c>
      <c r="O82" s="96">
        <f xml:space="preserve"> Inputs!O$99</f>
        <v>0</v>
      </c>
      <c r="P82" s="96">
        <f xml:space="preserve"> Inputs!P$99</f>
        <v>815.62100000000009</v>
      </c>
      <c r="Q82" s="96">
        <f xml:space="preserve"> Inputs!Q$99</f>
        <v>868.76199999999994</v>
      </c>
      <c r="R82" s="96">
        <f xml:space="preserve"> Inputs!R$99</f>
        <v>911.63900000000001</v>
      </c>
      <c r="S82" s="96">
        <f xml:space="preserve"> Inputs!S$99</f>
        <v>1055.6203585985668</v>
      </c>
      <c r="T82" s="96">
        <f xml:space="preserve"> Inputs!T$99</f>
        <v>0</v>
      </c>
      <c r="U82" s="96">
        <f xml:space="preserve"> Inputs!U$99</f>
        <v>0</v>
      </c>
      <c r="V82" s="96">
        <f xml:space="preserve"> Inputs!V$99</f>
        <v>0</v>
      </c>
      <c r="W82" s="96">
        <f xml:space="preserve"> Inputs!W$99</f>
        <v>0</v>
      </c>
    </row>
    <row r="83" spans="1:23" s="155" customFormat="1" ht="13.8" thickBot="1">
      <c r="A83" s="279"/>
      <c r="B83" s="279"/>
      <c r="C83" s="162"/>
      <c r="D83" s="280"/>
      <c r="E83" s="219" t="s">
        <v>319</v>
      </c>
      <c r="F83" s="219"/>
      <c r="G83" s="219" t="s">
        <v>97</v>
      </c>
      <c r="H83" s="225">
        <f xml:space="preserve"> SUM(J83:W83)</f>
        <v>1152.4523548870193</v>
      </c>
      <c r="I83" s="222"/>
      <c r="J83" s="222">
        <f xml:space="preserve"> J81 - J82</f>
        <v>0</v>
      </c>
      <c r="K83" s="222">
        <f t="shared" ref="K83:W83" si="23" xml:space="preserve"> K81 - K82</f>
        <v>0</v>
      </c>
      <c r="L83" s="222">
        <f t="shared" si="23"/>
        <v>0</v>
      </c>
      <c r="M83" s="222">
        <f t="shared" si="23"/>
        <v>0</v>
      </c>
      <c r="N83" s="222">
        <f t="shared" si="23"/>
        <v>0</v>
      </c>
      <c r="O83" s="222">
        <f t="shared" si="23"/>
        <v>0</v>
      </c>
      <c r="P83" s="222">
        <f t="shared" si="23"/>
        <v>17.482668256280476</v>
      </c>
      <c r="Q83" s="222">
        <f t="shared" si="23"/>
        <v>30.931606068130918</v>
      </c>
      <c r="R83" s="222">
        <f t="shared" si="23"/>
        <v>27.691003044624722</v>
      </c>
      <c r="S83" s="222">
        <f t="shared" si="23"/>
        <v>21.216382882526432</v>
      </c>
      <c r="T83" s="222">
        <f t="shared" si="23"/>
        <v>1055.1306946354568</v>
      </c>
      <c r="U83" s="222">
        <f t="shared" si="23"/>
        <v>0</v>
      </c>
      <c r="V83" s="222">
        <f t="shared" si="23"/>
        <v>0</v>
      </c>
      <c r="W83" s="222">
        <f t="shared" si="23"/>
        <v>0</v>
      </c>
    </row>
    <row r="84" spans="1:23" s="251" customFormat="1" ht="12.75" customHeight="1" thickTop="1">
      <c r="A84" s="248"/>
      <c r="B84" s="248"/>
      <c r="C84" s="249"/>
      <c r="D84" s="250"/>
      <c r="H84" s="252"/>
      <c r="I84" s="252"/>
      <c r="J84" s="252"/>
      <c r="K84" s="252"/>
      <c r="L84" s="252"/>
      <c r="M84" s="252"/>
      <c r="N84" s="252"/>
      <c r="O84" s="252"/>
      <c r="P84" s="252"/>
      <c r="Q84" s="252"/>
      <c r="R84" s="252"/>
      <c r="S84" s="252"/>
      <c r="T84" s="252"/>
      <c r="U84" s="252"/>
      <c r="V84" s="252"/>
      <c r="W84" s="252"/>
    </row>
    <row r="85" spans="1:23" s="82" customFormat="1" ht="12.75" customHeight="1">
      <c r="A85" s="202"/>
      <c r="B85" s="202" t="s">
        <v>320</v>
      </c>
      <c r="C85" s="180"/>
      <c r="D85" s="181"/>
      <c r="H85" s="182"/>
      <c r="I85" s="182"/>
      <c r="J85" s="182"/>
      <c r="K85" s="182"/>
      <c r="L85" s="182"/>
      <c r="M85" s="182"/>
      <c r="N85" s="182"/>
      <c r="O85" s="182"/>
      <c r="P85" s="182"/>
      <c r="Q85" s="182"/>
      <c r="R85" s="182"/>
      <c r="S85" s="182"/>
      <c r="T85" s="182"/>
      <c r="U85" s="182"/>
      <c r="V85" s="182"/>
      <c r="W85" s="182"/>
    </row>
    <row r="86" spans="1:23" s="82" customFormat="1" ht="12.75" customHeight="1">
      <c r="A86" s="202"/>
      <c r="B86" s="202"/>
      <c r="C86" s="180"/>
      <c r="D86" s="181"/>
      <c r="H86" s="182"/>
      <c r="I86" s="182"/>
      <c r="J86" s="182"/>
      <c r="K86" s="182"/>
      <c r="L86" s="182"/>
      <c r="M86" s="182"/>
      <c r="N86" s="182"/>
      <c r="O86" s="182"/>
      <c r="P86" s="182"/>
      <c r="Q86" s="182"/>
      <c r="R86" s="182"/>
      <c r="S86" s="182"/>
      <c r="T86" s="182"/>
      <c r="U86" s="182"/>
      <c r="V86" s="182"/>
      <c r="W86" s="182"/>
    </row>
    <row r="87" spans="1:23" s="74" customFormat="1" ht="12.75" customHeight="1">
      <c r="A87" s="66"/>
      <c r="B87" s="66"/>
      <c r="C87" s="73"/>
      <c r="D87" s="71"/>
      <c r="E87" s="35" t="str">
        <f t="shared" ref="E87:W87" si="24">E$14</f>
        <v xml:space="preserve">Allowed revenue - Water Res </v>
      </c>
      <c r="F87" s="35">
        <f t="shared" si="24"/>
        <v>0</v>
      </c>
      <c r="G87" s="35" t="str">
        <f t="shared" si="24"/>
        <v>£m</v>
      </c>
      <c r="H87" s="35">
        <f t="shared" si="24"/>
        <v>509.49838864009251</v>
      </c>
      <c r="I87" s="35">
        <f t="shared" si="24"/>
        <v>0</v>
      </c>
      <c r="J87" s="35">
        <f t="shared" si="24"/>
        <v>0</v>
      </c>
      <c r="K87" s="35">
        <f t="shared" si="24"/>
        <v>0</v>
      </c>
      <c r="L87" s="35">
        <f t="shared" si="24"/>
        <v>0</v>
      </c>
      <c r="M87" s="35">
        <f t="shared" si="24"/>
        <v>0</v>
      </c>
      <c r="N87" s="35">
        <f t="shared" si="24"/>
        <v>0</v>
      </c>
      <c r="O87" s="35">
        <f t="shared" si="24"/>
        <v>0</v>
      </c>
      <c r="P87" s="35">
        <f t="shared" si="24"/>
        <v>91.111588753454924</v>
      </c>
      <c r="Q87" s="35">
        <f t="shared" si="24"/>
        <v>95.168783601955525</v>
      </c>
      <c r="R87" s="35">
        <f t="shared" si="24"/>
        <v>98.559601129378535</v>
      </c>
      <c r="S87" s="35">
        <f t="shared" si="24"/>
        <v>108.34434091704806</v>
      </c>
      <c r="T87" s="35">
        <f t="shared" si="24"/>
        <v>116.3140742382555</v>
      </c>
      <c r="U87" s="35">
        <f t="shared" si="24"/>
        <v>0</v>
      </c>
      <c r="V87" s="35">
        <f t="shared" si="24"/>
        <v>0</v>
      </c>
      <c r="W87" s="35">
        <f t="shared" si="24"/>
        <v>0</v>
      </c>
    </row>
    <row r="88" spans="1:23" s="129" customFormat="1" ht="12.75" customHeight="1">
      <c r="A88" s="166"/>
      <c r="B88" s="166"/>
      <c r="C88" s="167"/>
      <c r="D88" s="75"/>
      <c r="E88" s="44" t="str">
        <f xml:space="preserve"> E$70</f>
        <v xml:space="preserve">Blind year adjustment inc. financing rate adjustment and inflation adjustment (BYA) - Water Res </v>
      </c>
      <c r="F88" s="44">
        <f t="shared" ref="F88:W88" si="25" xml:space="preserve"> F$70</f>
        <v>0</v>
      </c>
      <c r="G88" s="44" t="str">
        <f t="shared" si="25"/>
        <v>£m</v>
      </c>
      <c r="H88" s="44">
        <f t="shared" si="25"/>
        <v>-1.4752245352959742E-3</v>
      </c>
      <c r="I88" s="44">
        <f t="shared" si="25"/>
        <v>0</v>
      </c>
      <c r="J88" s="44">
        <f t="shared" si="25"/>
        <v>0</v>
      </c>
      <c r="K88" s="44">
        <f t="shared" si="25"/>
        <v>0</v>
      </c>
      <c r="L88" s="44">
        <f t="shared" si="25"/>
        <v>0</v>
      </c>
      <c r="M88" s="44">
        <f t="shared" si="25"/>
        <v>0</v>
      </c>
      <c r="N88" s="44">
        <f t="shared" si="25"/>
        <v>0</v>
      </c>
      <c r="O88" s="44">
        <f t="shared" si="25"/>
        <v>0</v>
      </c>
      <c r="P88" s="44">
        <f t="shared" si="25"/>
        <v>0</v>
      </c>
      <c r="Q88" s="44">
        <f t="shared" si="25"/>
        <v>0</v>
      </c>
      <c r="R88" s="44">
        <f t="shared" si="25"/>
        <v>0</v>
      </c>
      <c r="S88" s="44">
        <f t="shared" si="25"/>
        <v>0</v>
      </c>
      <c r="T88" s="44">
        <f t="shared" si="25"/>
        <v>-1.4752245352959742E-3</v>
      </c>
      <c r="U88" s="44">
        <f t="shared" si="25"/>
        <v>0</v>
      </c>
      <c r="V88" s="44">
        <f t="shared" si="25"/>
        <v>0</v>
      </c>
      <c r="W88" s="44">
        <f t="shared" si="25"/>
        <v>0</v>
      </c>
    </row>
    <row r="89" spans="1:23" s="129" customFormat="1" ht="12.75" customHeight="1">
      <c r="A89" s="166"/>
      <c r="B89" s="166"/>
      <c r="C89" s="167"/>
      <c r="D89" s="75"/>
      <c r="E89" s="44" t="str">
        <f xml:space="preserve"> E$38</f>
        <v>Bilateral entry adjustment - as incurred</v>
      </c>
      <c r="F89" s="44">
        <f t="shared" ref="F89:W89" si="26" xml:space="preserve"> F$38</f>
        <v>0</v>
      </c>
      <c r="G89" s="44" t="str">
        <f t="shared" si="26"/>
        <v>£m</v>
      </c>
      <c r="H89" s="44">
        <f t="shared" si="26"/>
        <v>0</v>
      </c>
      <c r="I89" s="44">
        <f t="shared" si="26"/>
        <v>0</v>
      </c>
      <c r="J89" s="44">
        <f t="shared" si="26"/>
        <v>0</v>
      </c>
      <c r="K89" s="44">
        <f t="shared" si="26"/>
        <v>0</v>
      </c>
      <c r="L89" s="44">
        <f t="shared" si="26"/>
        <v>0</v>
      </c>
      <c r="M89" s="44">
        <f t="shared" si="26"/>
        <v>0</v>
      </c>
      <c r="N89" s="44">
        <f t="shared" si="26"/>
        <v>0</v>
      </c>
      <c r="O89" s="44">
        <f t="shared" si="26"/>
        <v>0</v>
      </c>
      <c r="P89" s="44">
        <f t="shared" si="26"/>
        <v>0</v>
      </c>
      <c r="Q89" s="44">
        <f t="shared" si="26"/>
        <v>0</v>
      </c>
      <c r="R89" s="44">
        <f t="shared" si="26"/>
        <v>0</v>
      </c>
      <c r="S89" s="44">
        <f t="shared" si="26"/>
        <v>0</v>
      </c>
      <c r="T89" s="44">
        <f t="shared" si="26"/>
        <v>0</v>
      </c>
      <c r="U89" s="44">
        <f t="shared" si="26"/>
        <v>0</v>
      </c>
      <c r="V89" s="44">
        <f t="shared" si="26"/>
        <v>0</v>
      </c>
      <c r="W89" s="44">
        <f t="shared" si="26"/>
        <v>0</v>
      </c>
    </row>
    <row r="90" spans="1:23" s="269" customFormat="1" ht="12.75" customHeight="1">
      <c r="A90" s="266"/>
      <c r="B90" s="266"/>
      <c r="C90" s="267"/>
      <c r="D90" s="268"/>
      <c r="E90" s="65" t="str">
        <f xml:space="preserve"> E$210</f>
        <v>RFI - Water Res</v>
      </c>
      <c r="F90" s="65" t="str">
        <f t="shared" ref="F90:W90" si="27" xml:space="preserve"> F$210</f>
        <v>2 PD LK BCK</v>
      </c>
      <c r="G90" s="65" t="str">
        <f t="shared" si="27"/>
        <v>£m</v>
      </c>
      <c r="H90" s="65">
        <f t="shared" si="27"/>
        <v>6.8891948463653545</v>
      </c>
      <c r="I90" s="65">
        <f t="shared" si="27"/>
        <v>0</v>
      </c>
      <c r="J90" s="65">
        <f t="shared" si="27"/>
        <v>0</v>
      </c>
      <c r="K90" s="65">
        <f t="shared" si="27"/>
        <v>0</v>
      </c>
      <c r="L90" s="65">
        <f t="shared" si="27"/>
        <v>0</v>
      </c>
      <c r="M90" s="65">
        <f t="shared" si="27"/>
        <v>0</v>
      </c>
      <c r="N90" s="65">
        <f t="shared" si="27"/>
        <v>0</v>
      </c>
      <c r="O90" s="65">
        <f t="shared" si="27"/>
        <v>0</v>
      </c>
      <c r="P90" s="65">
        <f t="shared" si="27"/>
        <v>0</v>
      </c>
      <c r="Q90" s="65">
        <f t="shared" si="27"/>
        <v>0</v>
      </c>
      <c r="R90" s="65">
        <f t="shared" si="27"/>
        <v>1.4142250575888193</v>
      </c>
      <c r="S90" s="65">
        <f t="shared" si="27"/>
        <v>3.0871087443969478</v>
      </c>
      <c r="T90" s="65">
        <f t="shared" si="27"/>
        <v>2.3878610443795871</v>
      </c>
      <c r="U90" s="65">
        <f t="shared" si="27"/>
        <v>0</v>
      </c>
      <c r="V90" s="65">
        <f t="shared" si="27"/>
        <v>0</v>
      </c>
      <c r="W90" s="65">
        <f t="shared" si="27"/>
        <v>0</v>
      </c>
    </row>
    <row r="91" spans="1:23" s="153" customFormat="1" ht="12.75" customHeight="1" thickBot="1">
      <c r="A91" s="151"/>
      <c r="B91" s="151"/>
      <c r="C91" s="152"/>
      <c r="D91" s="278"/>
      <c r="E91" s="219" t="s">
        <v>321</v>
      </c>
      <c r="F91" s="219"/>
      <c r="G91" s="219" t="s">
        <v>97</v>
      </c>
      <c r="H91" s="281">
        <f xml:space="preserve"> SUM( J91:W91)</f>
        <v>516.38610826192257</v>
      </c>
      <c r="I91" s="281"/>
      <c r="J91" s="281">
        <f xml:space="preserve"> SUM( J87:J90 )</f>
        <v>0</v>
      </c>
      <c r="K91" s="281">
        <f t="shared" ref="K91:W91" si="28" xml:space="preserve"> SUM( K87:K90 )</f>
        <v>0</v>
      </c>
      <c r="L91" s="281">
        <f t="shared" si="28"/>
        <v>0</v>
      </c>
      <c r="M91" s="281">
        <f t="shared" si="28"/>
        <v>0</v>
      </c>
      <c r="N91" s="281">
        <f t="shared" si="28"/>
        <v>0</v>
      </c>
      <c r="O91" s="281">
        <f t="shared" si="28"/>
        <v>0</v>
      </c>
      <c r="P91" s="281">
        <f xml:space="preserve"> SUM( P87:P90 )</f>
        <v>91.111588753454924</v>
      </c>
      <c r="Q91" s="281">
        <f t="shared" si="28"/>
        <v>95.168783601955525</v>
      </c>
      <c r="R91" s="281">
        <f xml:space="preserve"> SUM( R87:R90 )</f>
        <v>99.973826186967358</v>
      </c>
      <c r="S91" s="281">
        <f t="shared" si="28"/>
        <v>111.431449661445</v>
      </c>
      <c r="T91" s="281">
        <f t="shared" si="28"/>
        <v>118.70046005809979</v>
      </c>
      <c r="U91" s="281">
        <f t="shared" si="28"/>
        <v>0</v>
      </c>
      <c r="V91" s="281">
        <f t="shared" si="28"/>
        <v>0</v>
      </c>
      <c r="W91" s="281">
        <f t="shared" si="28"/>
        <v>0</v>
      </c>
    </row>
    <row r="92" spans="1:23" s="153" customFormat="1" ht="12.75" customHeight="1" thickTop="1">
      <c r="A92" s="151"/>
      <c r="B92" s="151"/>
      <c r="C92" s="152"/>
      <c r="D92" s="278"/>
      <c r="H92" s="210"/>
      <c r="I92" s="210"/>
      <c r="J92" s="210"/>
      <c r="K92" s="210"/>
      <c r="L92" s="210"/>
      <c r="M92" s="210"/>
      <c r="N92" s="210"/>
      <c r="O92" s="210"/>
      <c r="P92" s="210"/>
      <c r="Q92" s="210"/>
      <c r="R92" s="210"/>
      <c r="S92" s="210"/>
      <c r="T92" s="210"/>
      <c r="U92" s="210"/>
      <c r="V92" s="210"/>
      <c r="W92" s="210"/>
    </row>
    <row r="93" spans="1:23" s="153" customFormat="1" ht="12.75" customHeight="1">
      <c r="A93" s="151"/>
      <c r="B93" s="151"/>
      <c r="C93" s="152"/>
      <c r="D93" s="278"/>
      <c r="E93" s="153" t="str">
        <f xml:space="preserve"> E$91</f>
        <v>Adjusted allowed revenue - Water Res</v>
      </c>
      <c r="F93" s="153">
        <f t="shared" ref="F93:W93" si="29" xml:space="preserve"> F$91</f>
        <v>0</v>
      </c>
      <c r="G93" s="153" t="str">
        <f t="shared" si="29"/>
        <v>£m</v>
      </c>
      <c r="H93" s="276">
        <f t="shared" si="29"/>
        <v>516.38610826192257</v>
      </c>
      <c r="I93" s="276">
        <f t="shared" si="29"/>
        <v>0</v>
      </c>
      <c r="J93" s="276">
        <f t="shared" si="29"/>
        <v>0</v>
      </c>
      <c r="K93" s="276">
        <f t="shared" si="29"/>
        <v>0</v>
      </c>
      <c r="L93" s="276">
        <f t="shared" si="29"/>
        <v>0</v>
      </c>
      <c r="M93" s="276">
        <f t="shared" si="29"/>
        <v>0</v>
      </c>
      <c r="N93" s="276">
        <f t="shared" si="29"/>
        <v>0</v>
      </c>
      <c r="O93" s="276">
        <f t="shared" si="29"/>
        <v>0</v>
      </c>
      <c r="P93" s="276">
        <f t="shared" si="29"/>
        <v>91.111588753454924</v>
      </c>
      <c r="Q93" s="276">
        <f t="shared" si="29"/>
        <v>95.168783601955525</v>
      </c>
      <c r="R93" s="276">
        <f t="shared" si="29"/>
        <v>99.973826186967358</v>
      </c>
      <c r="S93" s="276">
        <f t="shared" si="29"/>
        <v>111.431449661445</v>
      </c>
      <c r="T93" s="276">
        <f t="shared" si="29"/>
        <v>118.70046005809979</v>
      </c>
      <c r="U93" s="276">
        <f t="shared" si="29"/>
        <v>0</v>
      </c>
      <c r="V93" s="276">
        <f t="shared" si="29"/>
        <v>0</v>
      </c>
      <c r="W93" s="276">
        <f t="shared" si="29"/>
        <v>0</v>
      </c>
    </row>
    <row r="94" spans="1:23" s="34" customFormat="1" ht="12.75" customHeight="1">
      <c r="A94" s="54"/>
      <c r="B94" s="54"/>
      <c r="C94" s="52"/>
      <c r="D94" s="138" t="s">
        <v>318</v>
      </c>
      <c r="E94" s="96" t="str">
        <f>Inputs!E$81</f>
        <v xml:space="preserve">Actual Revenue - Water Res </v>
      </c>
      <c r="F94" s="96">
        <f>Inputs!F$81</f>
        <v>0</v>
      </c>
      <c r="G94" s="96" t="str">
        <f>Inputs!G$81</f>
        <v>£m</v>
      </c>
      <c r="H94" s="96">
        <f>Inputs!H$81</f>
        <v>395.238</v>
      </c>
      <c r="I94" s="96">
        <f>Inputs!I$81</f>
        <v>0</v>
      </c>
      <c r="J94" s="96">
        <f>Inputs!J$81</f>
        <v>0</v>
      </c>
      <c r="K94" s="96">
        <f>Inputs!K$81</f>
        <v>0</v>
      </c>
      <c r="L94" s="96">
        <f>Inputs!L$81</f>
        <v>0</v>
      </c>
      <c r="M94" s="96">
        <f>Inputs!M$81</f>
        <v>0</v>
      </c>
      <c r="N94" s="96">
        <f>Inputs!N$81</f>
        <v>0</v>
      </c>
      <c r="O94" s="96">
        <f>Inputs!O$81</f>
        <v>0</v>
      </c>
      <c r="P94" s="96">
        <f>Inputs!P$81</f>
        <v>89.841999999999985</v>
      </c>
      <c r="Q94" s="96">
        <f>Inputs!Q$81</f>
        <v>92.621000000000009</v>
      </c>
      <c r="R94" s="96">
        <f>Inputs!R$81</f>
        <v>97.995999999999995</v>
      </c>
      <c r="S94" s="96">
        <f>Inputs!S$81</f>
        <v>114.779</v>
      </c>
      <c r="T94" s="96">
        <f>Inputs!T$81</f>
        <v>0</v>
      </c>
      <c r="U94" s="96">
        <f>Inputs!U$81</f>
        <v>0</v>
      </c>
      <c r="V94" s="96">
        <f>Inputs!V$81</f>
        <v>0</v>
      </c>
      <c r="W94" s="96">
        <f>Inputs!W$81</f>
        <v>0</v>
      </c>
    </row>
    <row r="95" spans="1:23" s="155" customFormat="1" ht="13.8" thickBot="1">
      <c r="A95" s="279"/>
      <c r="B95" s="279"/>
      <c r="C95" s="162"/>
      <c r="D95" s="280"/>
      <c r="E95" s="219" t="s">
        <v>322</v>
      </c>
      <c r="F95" s="219"/>
      <c r="G95" s="219" t="s">
        <v>97</v>
      </c>
      <c r="H95" s="225">
        <f xml:space="preserve"> SUM(J95:W95)</f>
        <v>121.14810826192262</v>
      </c>
      <c r="I95" s="222"/>
      <c r="J95" s="222">
        <f>J93-J94</f>
        <v>0</v>
      </c>
      <c r="K95" s="222">
        <f t="shared" ref="K95:Q95" si="30">K93-K94</f>
        <v>0</v>
      </c>
      <c r="L95" s="222">
        <f t="shared" si="30"/>
        <v>0</v>
      </c>
      <c r="M95" s="222">
        <f t="shared" si="30"/>
        <v>0</v>
      </c>
      <c r="N95" s="222">
        <f t="shared" si="30"/>
        <v>0</v>
      </c>
      <c r="O95" s="222">
        <f t="shared" si="30"/>
        <v>0</v>
      </c>
      <c r="P95" s="222">
        <f t="shared" si="30"/>
        <v>1.2695887534549399</v>
      </c>
      <c r="Q95" s="222">
        <f t="shared" si="30"/>
        <v>2.5477836019555156</v>
      </c>
      <c r="R95" s="222">
        <f t="shared" ref="R95:W95" si="31">R93-R94</f>
        <v>1.9778261869673628</v>
      </c>
      <c r="S95" s="222">
        <f t="shared" si="31"/>
        <v>-3.3475503385549956</v>
      </c>
      <c r="T95" s="222">
        <f t="shared" si="31"/>
        <v>118.70046005809979</v>
      </c>
      <c r="U95" s="222">
        <f t="shared" si="31"/>
        <v>0</v>
      </c>
      <c r="V95" s="222">
        <f t="shared" si="31"/>
        <v>0</v>
      </c>
      <c r="W95" s="222">
        <f t="shared" si="31"/>
        <v>0</v>
      </c>
    </row>
    <row r="96" spans="1:23" ht="12.75" customHeight="1" thickTop="1"/>
    <row r="97" spans="1:23" s="6" customFormat="1" ht="12.75" customHeight="1">
      <c r="A97" s="64"/>
      <c r="B97" s="64" t="s">
        <v>323</v>
      </c>
      <c r="C97" s="62"/>
      <c r="D97" s="159"/>
      <c r="E97" s="129"/>
      <c r="F97" s="101"/>
      <c r="G97" s="101"/>
      <c r="H97" s="101"/>
      <c r="I97" s="101"/>
      <c r="J97" s="101"/>
      <c r="K97" s="101"/>
      <c r="L97" s="101"/>
      <c r="M97" s="101"/>
      <c r="N97" s="101"/>
      <c r="O97" s="101"/>
      <c r="P97" s="101"/>
      <c r="Q97" s="101"/>
      <c r="R97" s="101"/>
      <c r="S97" s="101"/>
      <c r="T97" s="101"/>
      <c r="U97" s="101"/>
    </row>
    <row r="98" spans="1:23" s="6" customFormat="1" ht="12.75" customHeight="1">
      <c r="A98" s="64"/>
      <c r="B98" s="64"/>
      <c r="C98" s="62"/>
      <c r="D98" s="159"/>
      <c r="E98" s="129"/>
      <c r="F98" s="101"/>
      <c r="G98" s="101"/>
      <c r="H98" s="101"/>
      <c r="I98" s="101"/>
      <c r="J98" s="101"/>
      <c r="K98" s="101"/>
      <c r="L98" s="101"/>
      <c r="M98" s="101"/>
      <c r="N98" s="101"/>
      <c r="O98" s="101"/>
      <c r="P98" s="101"/>
      <c r="Q98" s="101"/>
      <c r="R98" s="101"/>
      <c r="S98" s="101"/>
      <c r="T98" s="101"/>
      <c r="U98" s="101"/>
    </row>
    <row r="99" spans="1:23" ht="12.75" customHeight="1">
      <c r="E99" s="113" t="str">
        <f xml:space="preserve"> Inputs!E$69</f>
        <v>Timing delay</v>
      </c>
      <c r="F99" s="113">
        <f xml:space="preserve"> Inputs!F$69</f>
        <v>2</v>
      </c>
      <c r="G99" s="113" t="str">
        <f xml:space="preserve"> Inputs!G$69</f>
        <v>years</v>
      </c>
      <c r="H99" s="113">
        <f xml:space="preserve"> Inputs!H$69</f>
        <v>0</v>
      </c>
      <c r="I99" s="113">
        <f xml:space="preserve"> Inputs!I$69</f>
        <v>0</v>
      </c>
      <c r="J99" s="113">
        <f xml:space="preserve"> Inputs!J$69</f>
        <v>0</v>
      </c>
      <c r="K99" s="113">
        <f xml:space="preserve"> Inputs!K$69</f>
        <v>0</v>
      </c>
      <c r="L99" s="113">
        <f xml:space="preserve"> Inputs!L$69</f>
        <v>0</v>
      </c>
      <c r="M99" s="113">
        <f xml:space="preserve"> Inputs!M$69</f>
        <v>0</v>
      </c>
      <c r="N99" s="113">
        <f xml:space="preserve"> Inputs!N$69</f>
        <v>0</v>
      </c>
      <c r="O99" s="113">
        <f xml:space="preserve"> Inputs!O$69</f>
        <v>0</v>
      </c>
      <c r="P99" s="113">
        <f xml:space="preserve"> Inputs!P$69</f>
        <v>0</v>
      </c>
      <c r="Q99" s="113">
        <f xml:space="preserve"> Inputs!Q$69</f>
        <v>0</v>
      </c>
      <c r="R99" s="113">
        <f xml:space="preserve"> Inputs!R$69</f>
        <v>0</v>
      </c>
      <c r="S99" s="113">
        <f xml:space="preserve"> Inputs!S$69</f>
        <v>0</v>
      </c>
      <c r="T99" s="113">
        <f xml:space="preserve"> Inputs!T$69</f>
        <v>0</v>
      </c>
      <c r="U99" s="113">
        <f xml:space="preserve"> Inputs!U$69</f>
        <v>0</v>
      </c>
      <c r="V99" s="113">
        <f xml:space="preserve"> Inputs!V$69</f>
        <v>0</v>
      </c>
      <c r="W99" s="113">
        <f xml:space="preserve"> Inputs!W$69</f>
        <v>0</v>
      </c>
    </row>
    <row r="100" spans="1:23" ht="12.75" customHeight="1">
      <c r="E100" s="36" t="str">
        <f xml:space="preserve"> Inputs!E$63</f>
        <v>Discount rate</v>
      </c>
      <c r="F100" s="36">
        <f xml:space="preserve"> Inputs!F$63</f>
        <v>2.92E-2</v>
      </c>
      <c r="G100" s="36" t="str">
        <f xml:space="preserve"> Inputs!G$63</f>
        <v>%</v>
      </c>
      <c r="H100" s="36">
        <f xml:space="preserve"> Inputs!H$63</f>
        <v>0</v>
      </c>
      <c r="I100" s="36">
        <f xml:space="preserve"> Inputs!I$63</f>
        <v>0</v>
      </c>
      <c r="J100" s="36">
        <f xml:space="preserve"> Inputs!J$63</f>
        <v>0</v>
      </c>
      <c r="K100" s="36">
        <f xml:space="preserve"> Inputs!K$63</f>
        <v>0</v>
      </c>
      <c r="L100" s="36">
        <f xml:space="preserve"> Inputs!L$63</f>
        <v>0</v>
      </c>
      <c r="M100" s="36">
        <f xml:space="preserve"> Inputs!M$63</f>
        <v>0</v>
      </c>
      <c r="N100" s="36">
        <f xml:space="preserve"> Inputs!N$63</f>
        <v>0</v>
      </c>
      <c r="O100" s="36">
        <f xml:space="preserve"> Inputs!O$63</f>
        <v>0</v>
      </c>
      <c r="P100" s="36">
        <f xml:space="preserve"> Inputs!P$63</f>
        <v>0</v>
      </c>
      <c r="Q100" s="36">
        <f xml:space="preserve"> Inputs!Q$63</f>
        <v>0</v>
      </c>
      <c r="R100" s="36">
        <f xml:space="preserve"> Inputs!R$63</f>
        <v>0</v>
      </c>
      <c r="S100" s="36">
        <f xml:space="preserve"> Inputs!S$63</f>
        <v>0</v>
      </c>
      <c r="T100" s="36">
        <f xml:space="preserve"> Inputs!T$63</f>
        <v>0</v>
      </c>
      <c r="U100" s="36">
        <f xml:space="preserve"> Inputs!U$63</f>
        <v>0</v>
      </c>
      <c r="V100" s="36">
        <f xml:space="preserve"> Inputs!V$63</f>
        <v>0</v>
      </c>
      <c r="W100" s="36">
        <f xml:space="preserve"> Inputs!W$63</f>
        <v>0</v>
      </c>
    </row>
    <row r="101" spans="1:23" s="172" customFormat="1" ht="12.75" customHeight="1">
      <c r="A101" s="125"/>
      <c r="B101" s="125"/>
      <c r="C101" s="127"/>
      <c r="D101" s="205"/>
      <c r="E101" s="206" t="str">
        <f xml:space="preserve"> E$83</f>
        <v>Revenue Imbalance - Water-N+</v>
      </c>
      <c r="F101" s="206">
        <f t="shared" ref="F101:W101" si="32" xml:space="preserve"> F$83</f>
        <v>0</v>
      </c>
      <c r="G101" s="206" t="str">
        <f t="shared" si="32"/>
        <v>£m</v>
      </c>
      <c r="H101" s="206">
        <f t="shared" si="32"/>
        <v>1152.4523548870193</v>
      </c>
      <c r="I101" s="206">
        <f t="shared" si="32"/>
        <v>0</v>
      </c>
      <c r="J101" s="206">
        <f t="shared" si="32"/>
        <v>0</v>
      </c>
      <c r="K101" s="206">
        <f t="shared" si="32"/>
        <v>0</v>
      </c>
      <c r="L101" s="206">
        <f t="shared" si="32"/>
        <v>0</v>
      </c>
      <c r="M101" s="206">
        <f t="shared" si="32"/>
        <v>0</v>
      </c>
      <c r="N101" s="206">
        <f t="shared" si="32"/>
        <v>0</v>
      </c>
      <c r="O101" s="206">
        <f t="shared" si="32"/>
        <v>0</v>
      </c>
      <c r="P101" s="206">
        <f t="shared" si="32"/>
        <v>17.482668256280476</v>
      </c>
      <c r="Q101" s="206">
        <f t="shared" si="32"/>
        <v>30.931606068130918</v>
      </c>
      <c r="R101" s="206">
        <f t="shared" si="32"/>
        <v>27.691003044624722</v>
      </c>
      <c r="S101" s="206">
        <f t="shared" si="32"/>
        <v>21.216382882526432</v>
      </c>
      <c r="T101" s="206">
        <f t="shared" si="32"/>
        <v>1055.1306946354568</v>
      </c>
      <c r="U101" s="206">
        <f t="shared" si="32"/>
        <v>0</v>
      </c>
      <c r="V101" s="206">
        <f t="shared" si="32"/>
        <v>0</v>
      </c>
      <c r="W101" s="206">
        <f t="shared" si="32"/>
        <v>0</v>
      </c>
    </row>
    <row r="102" spans="1:23" s="6" customFormat="1" ht="12.75" customHeight="1">
      <c r="A102" s="64"/>
      <c r="B102" s="64"/>
      <c r="C102" s="62"/>
      <c r="D102" s="159"/>
      <c r="E102" s="98" t="str">
        <f xml:space="preserve"> Time!E$63</f>
        <v>Forecast period counter</v>
      </c>
      <c r="F102" s="98">
        <f xml:space="preserve"> Time!F$63</f>
        <v>0</v>
      </c>
      <c r="G102" s="98" t="str">
        <f xml:space="preserve"> Time!G$63</f>
        <v>counter</v>
      </c>
      <c r="H102" s="98">
        <f xml:space="preserve"> Time!H$63</f>
        <v>0</v>
      </c>
      <c r="I102" s="98">
        <f xml:space="preserve"> Time!I$63</f>
        <v>0</v>
      </c>
      <c r="J102" s="98">
        <f xml:space="preserve"> Time!J$63</f>
        <v>0</v>
      </c>
      <c r="K102" s="98">
        <f xml:space="preserve"> Time!K$63</f>
        <v>0</v>
      </c>
      <c r="L102" s="98">
        <f xml:space="preserve"> Time!L$63</f>
        <v>0</v>
      </c>
      <c r="M102" s="98">
        <f xml:space="preserve"> Time!M$63</f>
        <v>0</v>
      </c>
      <c r="N102" s="98">
        <f xml:space="preserve"> Time!N$63</f>
        <v>0</v>
      </c>
      <c r="O102" s="98">
        <f xml:space="preserve"> Time!O$63</f>
        <v>0</v>
      </c>
      <c r="P102" s="98">
        <f xml:space="preserve"> Time!P$63</f>
        <v>1</v>
      </c>
      <c r="Q102" s="98">
        <f xml:space="preserve"> Time!Q$63</f>
        <v>2</v>
      </c>
      <c r="R102" s="98">
        <f xml:space="preserve"> Time!R$63</f>
        <v>3</v>
      </c>
      <c r="S102" s="98">
        <f xml:space="preserve"> Time!S$63</f>
        <v>4</v>
      </c>
      <c r="T102" s="98">
        <f xml:space="preserve"> Time!T$63</f>
        <v>5</v>
      </c>
      <c r="U102" s="98">
        <f xml:space="preserve"> Time!U$63</f>
        <v>0</v>
      </c>
      <c r="V102" s="98">
        <f xml:space="preserve"> Time!V$63</f>
        <v>0</v>
      </c>
      <c r="W102" s="98">
        <f xml:space="preserve"> Time!W$63</f>
        <v>0</v>
      </c>
    </row>
    <row r="103" spans="1:23" s="6" customFormat="1" ht="12.75" customHeight="1">
      <c r="A103" s="64"/>
      <c r="B103" s="64"/>
      <c r="C103" s="62"/>
      <c r="D103" s="159"/>
      <c r="E103" s="129" t="s">
        <v>324</v>
      </c>
      <c r="F103" s="101"/>
      <c r="G103" s="101" t="s">
        <v>97</v>
      </c>
      <c r="H103" s="93">
        <f xml:space="preserve"> SUM(J103:W103)</f>
        <v>80.61471597108374</v>
      </c>
      <c r="I103" s="101"/>
      <c r="J103" s="93">
        <f xml:space="preserve"> IF(J102 &lt;= $F99 + 1,  J101 * (1 + $F100) * (1 + $F100), 0)</f>
        <v>0</v>
      </c>
      <c r="K103" s="93">
        <f t="shared" ref="K103:W103" si="33" xml:space="preserve"> IF(K102 &lt;= $F99 + 1,  K101 * (1 + $F100) * (1 + $F100), 0)</f>
        <v>0</v>
      </c>
      <c r="L103" s="93">
        <f xml:space="preserve"> IF(L102 &lt;= $F99 + 1,  L101 * (1 + $F100) * (1 + $F100), 0)</f>
        <v>0</v>
      </c>
      <c r="M103" s="93">
        <f t="shared" si="33"/>
        <v>0</v>
      </c>
      <c r="N103" s="93">
        <f t="shared" si="33"/>
        <v>0</v>
      </c>
      <c r="O103" s="93">
        <f t="shared" si="33"/>
        <v>0</v>
      </c>
      <c r="P103" s="93">
        <f xml:space="preserve"> IF(P102 &lt;= $F99 + 1,  P101 * (1 + $F100) * (1 + $F100), 0)</f>
        <v>18.518562504709287</v>
      </c>
      <c r="Q103" s="93">
        <f t="shared" si="33"/>
        <v>32.764385387107687</v>
      </c>
      <c r="R103" s="93">
        <f xml:space="preserve"> IF(R102 &lt;= $F99 + 1,  R101 * (1 + $F100) * (1 + $F100), 0)</f>
        <v>29.331768079266766</v>
      </c>
      <c r="S103" s="93">
        <f xml:space="preserve"> IF(S102 &lt;= $F99 + 1,  S101 * (1 + $F100) * (1 + $F100), 0)</f>
        <v>0</v>
      </c>
      <c r="T103" s="93">
        <f xml:space="preserve"> IF(T102 &lt;= $F99 + 1,  T101 * (1 + $F100) * (1 + $F100), 0)</f>
        <v>0</v>
      </c>
      <c r="U103" s="93">
        <f t="shared" si="33"/>
        <v>0</v>
      </c>
      <c r="V103" s="93">
        <f t="shared" si="33"/>
        <v>0</v>
      </c>
      <c r="W103" s="93">
        <f t="shared" si="33"/>
        <v>0</v>
      </c>
    </row>
    <row r="104" spans="1:23" s="6" customFormat="1" ht="12.75" customHeight="1">
      <c r="A104" s="64"/>
      <c r="B104" s="64"/>
      <c r="C104" s="62"/>
      <c r="D104" s="159"/>
      <c r="E104" s="129"/>
      <c r="F104" s="101"/>
      <c r="G104" s="101"/>
      <c r="H104" s="101"/>
      <c r="I104" s="101"/>
      <c r="J104" s="101"/>
      <c r="K104" s="101"/>
      <c r="L104" s="101"/>
      <c r="M104" s="101"/>
      <c r="N104" s="101"/>
      <c r="O104" s="101"/>
      <c r="P104" s="101"/>
      <c r="Q104" s="101"/>
      <c r="R104" s="101"/>
      <c r="S104" s="101"/>
      <c r="T104" s="101"/>
      <c r="U104" s="101"/>
      <c r="V104" s="101"/>
      <c r="W104" s="101"/>
    </row>
    <row r="105" spans="1:23" s="6" customFormat="1" ht="12.75" customHeight="1">
      <c r="A105" s="64"/>
      <c r="B105" s="64"/>
      <c r="C105" s="62"/>
      <c r="D105" s="159"/>
      <c r="E105" s="43" t="str">
        <f xml:space="preserve"> 'Indices and K factor'!E$11</f>
        <v>CPIH: Nov % increase (prior year) - CALC</v>
      </c>
      <c r="F105" s="43">
        <f xml:space="preserve"> 'Indices and K factor'!F$11</f>
        <v>0</v>
      </c>
      <c r="G105" s="43" t="str">
        <f xml:space="preserve"> 'Indices and K factor'!G$11</f>
        <v>%</v>
      </c>
      <c r="H105" s="43">
        <f xml:space="preserve"> 'Indices and K factor'!H$11</f>
        <v>0</v>
      </c>
      <c r="I105" s="43">
        <f xml:space="preserve"> 'Indices and K factor'!I$11</f>
        <v>0</v>
      </c>
      <c r="J105" s="43">
        <f xml:space="preserve"> 'Indices and K factor'!J$11</f>
        <v>0</v>
      </c>
      <c r="K105" s="43">
        <f xml:space="preserve"> 'Indices and K factor'!K$11</f>
        <v>0</v>
      </c>
      <c r="L105" s="43">
        <f xml:space="preserve"> 'Indices and K factor'!L$11</f>
        <v>1.0040040040040039</v>
      </c>
      <c r="M105" s="43">
        <f xml:space="preserve"> 'Indices and K factor'!M$11</f>
        <v>1.0149551345962113</v>
      </c>
      <c r="N105" s="43">
        <f xml:space="preserve"> 'Indices and K factor'!N$11</f>
        <v>1.0284872298624754</v>
      </c>
      <c r="O105" s="43">
        <f xml:space="preserve"> 'Indices and K factor'!O$11</f>
        <v>1.0210124164278893</v>
      </c>
      <c r="P105" s="43">
        <f xml:space="preserve"> 'Indices and K factor'!P$11</f>
        <v>1.0149672591206735</v>
      </c>
      <c r="Q105" s="43">
        <f xml:space="preserve"> 'Indices and K factor'!Q$11</f>
        <v>1.0055299539170506</v>
      </c>
      <c r="R105" s="43">
        <f xml:space="preserve"> 'Indices and K factor'!R$11</f>
        <v>1.0458295142071494</v>
      </c>
      <c r="S105" s="43">
        <f xml:space="preserve"> 'Indices and K factor'!S$11</f>
        <v>1.0937773882559159</v>
      </c>
      <c r="T105" s="43">
        <f xml:space="preserve"> 'Indices and K factor'!T$11</f>
        <v>1.042059294871795</v>
      </c>
      <c r="U105" s="43">
        <f xml:space="preserve"> 'Indices and K factor'!U$11</f>
        <v>1.0312779542070039</v>
      </c>
      <c r="V105" s="43">
        <f xml:space="preserve"> 'Indices and K factor'!V$11</f>
        <v>1.02</v>
      </c>
      <c r="W105" s="43">
        <f xml:space="preserve"> 'Indices and K factor'!W$11</f>
        <v>1.02</v>
      </c>
    </row>
    <row r="106" spans="1:23" s="6" customFormat="1" ht="12.75" customHeight="1">
      <c r="A106" s="64"/>
      <c r="B106" s="64"/>
      <c r="C106" s="62"/>
      <c r="D106" s="159"/>
      <c r="E106" s="44" t="str">
        <f t="shared" ref="E106:W106" si="34" xml:space="preserve"> E$103</f>
        <v>Main revenue adjustment - with financing adjustment - Water-N+</v>
      </c>
      <c r="F106" s="44">
        <f t="shared" si="34"/>
        <v>0</v>
      </c>
      <c r="G106" s="44" t="str">
        <f t="shared" si="34"/>
        <v>£m</v>
      </c>
      <c r="H106" s="44">
        <f t="shared" si="34"/>
        <v>80.61471597108374</v>
      </c>
      <c r="I106" s="44">
        <f t="shared" si="34"/>
        <v>0</v>
      </c>
      <c r="J106" s="44">
        <f t="shared" si="34"/>
        <v>0</v>
      </c>
      <c r="K106" s="44">
        <f t="shared" si="34"/>
        <v>0</v>
      </c>
      <c r="L106" s="44">
        <f t="shared" si="34"/>
        <v>0</v>
      </c>
      <c r="M106" s="44">
        <f t="shared" si="34"/>
        <v>0</v>
      </c>
      <c r="N106" s="44">
        <f t="shared" si="34"/>
        <v>0</v>
      </c>
      <c r="O106" s="44">
        <f t="shared" si="34"/>
        <v>0</v>
      </c>
      <c r="P106" s="44">
        <f t="shared" si="34"/>
        <v>18.518562504709287</v>
      </c>
      <c r="Q106" s="44">
        <f t="shared" si="34"/>
        <v>32.764385387107687</v>
      </c>
      <c r="R106" s="44">
        <f t="shared" si="34"/>
        <v>29.331768079266766</v>
      </c>
      <c r="S106" s="44">
        <f t="shared" si="34"/>
        <v>0</v>
      </c>
      <c r="T106" s="44">
        <f t="shared" si="34"/>
        <v>0</v>
      </c>
      <c r="U106" s="44">
        <f t="shared" si="34"/>
        <v>0</v>
      </c>
      <c r="V106" s="44">
        <f t="shared" si="34"/>
        <v>0</v>
      </c>
      <c r="W106" s="44">
        <f t="shared" si="34"/>
        <v>0</v>
      </c>
    </row>
    <row r="107" spans="1:23" s="6" customFormat="1" ht="12.75" customHeight="1" thickBot="1">
      <c r="A107" s="64"/>
      <c r="B107" s="64"/>
      <c r="C107" s="62"/>
      <c r="D107" s="159"/>
      <c r="E107" s="219" t="s">
        <v>325</v>
      </c>
      <c r="F107" s="219"/>
      <c r="G107" s="219" t="s">
        <v>97</v>
      </c>
      <c r="H107" s="225">
        <f xml:space="preserve"> SUM(J107:W107)</f>
        <v>90.385481726795831</v>
      </c>
      <c r="I107" s="222"/>
      <c r="J107" s="222">
        <f t="shared" ref="J107:T107" si="35" xml:space="preserve"> J106 * K105 * L105</f>
        <v>0</v>
      </c>
      <c r="K107" s="222">
        <f t="shared" si="35"/>
        <v>0</v>
      </c>
      <c r="L107" s="222">
        <f xml:space="preserve"> L106 * M105 * N105</f>
        <v>0</v>
      </c>
      <c r="M107" s="222">
        <f t="shared" si="35"/>
        <v>0</v>
      </c>
      <c r="N107" s="222">
        <f xml:space="preserve"> N106 * O105 * P105</f>
        <v>0</v>
      </c>
      <c r="O107" s="222">
        <f t="shared" si="35"/>
        <v>0</v>
      </c>
      <c r="P107" s="222">
        <f xml:space="preserve"> P106 * Q105 * R105</f>
        <v>19.474359279145894</v>
      </c>
      <c r="Q107" s="222">
        <f t="shared" si="35"/>
        <v>37.479333605050776</v>
      </c>
      <c r="R107" s="222">
        <f t="shared" si="35"/>
        <v>33.431788842599161</v>
      </c>
      <c r="S107" s="222">
        <f t="shared" si="35"/>
        <v>0</v>
      </c>
      <c r="T107" s="222">
        <f t="shared" si="35"/>
        <v>0</v>
      </c>
      <c r="U107" s="222">
        <f xml:space="preserve"> U106 * V105 * W105</f>
        <v>0</v>
      </c>
      <c r="V107" s="461"/>
      <c r="W107" s="461"/>
    </row>
    <row r="108" spans="1:23" s="6" customFormat="1" ht="12.75" customHeight="1" thickTop="1">
      <c r="A108" s="64"/>
      <c r="B108" s="64"/>
      <c r="C108" s="62"/>
      <c r="D108" s="159"/>
      <c r="E108" s="283"/>
      <c r="F108" s="101"/>
      <c r="G108" s="101"/>
      <c r="H108" s="101"/>
      <c r="I108" s="101"/>
      <c r="J108" s="101"/>
      <c r="K108" s="101"/>
      <c r="L108" s="101"/>
      <c r="M108" s="101"/>
      <c r="N108" s="101"/>
      <c r="O108" s="101"/>
      <c r="P108" s="101"/>
      <c r="Q108" s="101"/>
      <c r="R108" s="101"/>
      <c r="S108" s="101"/>
      <c r="T108" s="101"/>
      <c r="U108" s="101"/>
    </row>
    <row r="109" spans="1:23" s="6" customFormat="1" ht="12.75" customHeight="1">
      <c r="A109" s="64"/>
      <c r="B109" s="64" t="s">
        <v>326</v>
      </c>
      <c r="C109" s="62"/>
      <c r="D109" s="159"/>
      <c r="E109" s="129"/>
      <c r="F109" s="101"/>
      <c r="G109" s="101"/>
      <c r="H109" s="101"/>
      <c r="I109" s="101"/>
      <c r="J109" s="101"/>
      <c r="K109" s="101"/>
      <c r="L109" s="101"/>
      <c r="M109" s="101"/>
      <c r="N109" s="101"/>
      <c r="O109" s="101"/>
      <c r="P109" s="101"/>
      <c r="Q109" s="101"/>
      <c r="R109" s="101"/>
      <c r="S109" s="101"/>
      <c r="T109" s="101"/>
      <c r="U109" s="101"/>
    </row>
    <row r="110" spans="1:23" s="6" customFormat="1" ht="12.75" customHeight="1">
      <c r="A110" s="64"/>
      <c r="B110" s="64"/>
      <c r="C110" s="62"/>
      <c r="D110" s="159"/>
      <c r="E110" s="129"/>
      <c r="F110" s="101"/>
      <c r="G110" s="101"/>
      <c r="H110" s="101"/>
      <c r="I110" s="101"/>
      <c r="J110" s="101"/>
      <c r="K110" s="101"/>
      <c r="L110" s="101"/>
      <c r="M110" s="101"/>
      <c r="N110" s="101"/>
      <c r="O110" s="101"/>
      <c r="P110" s="101"/>
      <c r="Q110" s="101"/>
      <c r="R110" s="101"/>
      <c r="S110" s="101"/>
      <c r="T110" s="101"/>
      <c r="U110" s="101"/>
    </row>
    <row r="111" spans="1:23" ht="12.75" customHeight="1">
      <c r="E111" s="113" t="str">
        <f xml:space="preserve"> Inputs!E$69</f>
        <v>Timing delay</v>
      </c>
      <c r="F111" s="113">
        <f xml:space="preserve"> Inputs!F$69</f>
        <v>2</v>
      </c>
      <c r="G111" s="113" t="str">
        <f xml:space="preserve"> Inputs!G$69</f>
        <v>years</v>
      </c>
      <c r="H111" s="113">
        <f xml:space="preserve"> Inputs!H$69</f>
        <v>0</v>
      </c>
      <c r="I111" s="113">
        <f xml:space="preserve"> Inputs!I$69</f>
        <v>0</v>
      </c>
      <c r="J111" s="113">
        <f xml:space="preserve"> Inputs!J$69</f>
        <v>0</v>
      </c>
      <c r="K111" s="113">
        <f xml:space="preserve"> Inputs!K$69</f>
        <v>0</v>
      </c>
      <c r="L111" s="113">
        <f xml:space="preserve"> Inputs!L$69</f>
        <v>0</v>
      </c>
      <c r="M111" s="113">
        <f xml:space="preserve"> Inputs!M$69</f>
        <v>0</v>
      </c>
      <c r="N111" s="113">
        <f xml:space="preserve"> Inputs!N$69</f>
        <v>0</v>
      </c>
      <c r="O111" s="113">
        <f xml:space="preserve"> Inputs!O$69</f>
        <v>0</v>
      </c>
      <c r="P111" s="113">
        <f xml:space="preserve"> Inputs!P$69</f>
        <v>0</v>
      </c>
      <c r="Q111" s="113">
        <f xml:space="preserve"> Inputs!Q$69</f>
        <v>0</v>
      </c>
      <c r="R111" s="113">
        <f xml:space="preserve"> Inputs!R$69</f>
        <v>0</v>
      </c>
      <c r="S111" s="113">
        <f xml:space="preserve"> Inputs!S$69</f>
        <v>0</v>
      </c>
      <c r="T111" s="113">
        <f xml:space="preserve"> Inputs!T$69</f>
        <v>0</v>
      </c>
      <c r="U111" s="113">
        <f xml:space="preserve"> Inputs!U$69</f>
        <v>0</v>
      </c>
      <c r="V111" s="113">
        <f xml:space="preserve"> Inputs!V$69</f>
        <v>0</v>
      </c>
      <c r="W111" s="113">
        <f xml:space="preserve"> Inputs!W$69</f>
        <v>0</v>
      </c>
    </row>
    <row r="112" spans="1:23" ht="12.75" customHeight="1">
      <c r="E112" s="36" t="str">
        <f xml:space="preserve"> Inputs!E$63</f>
        <v>Discount rate</v>
      </c>
      <c r="F112" s="36">
        <f xml:space="preserve"> Inputs!F$63</f>
        <v>2.92E-2</v>
      </c>
      <c r="G112" s="36" t="str">
        <f xml:space="preserve"> Inputs!G$63</f>
        <v>%</v>
      </c>
      <c r="H112" s="36">
        <f xml:space="preserve"> Inputs!H$63</f>
        <v>0</v>
      </c>
      <c r="I112" s="36">
        <f xml:space="preserve"> Inputs!I$63</f>
        <v>0</v>
      </c>
      <c r="J112" s="36">
        <f xml:space="preserve"> Inputs!J$63</f>
        <v>0</v>
      </c>
      <c r="K112" s="36">
        <f xml:space="preserve"> Inputs!K$63</f>
        <v>0</v>
      </c>
      <c r="L112" s="36">
        <f xml:space="preserve"> Inputs!L$63</f>
        <v>0</v>
      </c>
      <c r="M112" s="36">
        <f xml:space="preserve"> Inputs!M$63</f>
        <v>0</v>
      </c>
      <c r="N112" s="36">
        <f xml:space="preserve"> Inputs!N$63</f>
        <v>0</v>
      </c>
      <c r="O112" s="36">
        <f xml:space="preserve"> Inputs!O$63</f>
        <v>0</v>
      </c>
      <c r="P112" s="36">
        <f xml:space="preserve"> Inputs!P$63</f>
        <v>0</v>
      </c>
      <c r="Q112" s="36">
        <f xml:space="preserve"> Inputs!Q$63</f>
        <v>0</v>
      </c>
      <c r="R112" s="36">
        <f xml:space="preserve"> Inputs!R$63</f>
        <v>0</v>
      </c>
      <c r="S112" s="36">
        <f xml:space="preserve"> Inputs!S$63</f>
        <v>0</v>
      </c>
      <c r="T112" s="36">
        <f xml:space="preserve"> Inputs!T$63</f>
        <v>0</v>
      </c>
      <c r="U112" s="36">
        <f xml:space="preserve"> Inputs!U$63</f>
        <v>0</v>
      </c>
      <c r="V112" s="36">
        <f xml:space="preserve"> Inputs!V$63</f>
        <v>0</v>
      </c>
      <c r="W112" s="36">
        <f xml:space="preserve"> Inputs!W$63</f>
        <v>0</v>
      </c>
    </row>
    <row r="113" spans="1:23" s="172" customFormat="1" ht="12.75" customHeight="1">
      <c r="A113" s="125"/>
      <c r="B113" s="125"/>
      <c r="C113" s="127"/>
      <c r="D113" s="205"/>
      <c r="E113" s="206" t="str">
        <f xml:space="preserve"> E$95</f>
        <v>Revenue Imbalance - Water Res</v>
      </c>
      <c r="F113" s="206">
        <f t="shared" ref="F113:W113" si="36" xml:space="preserve"> F$95</f>
        <v>0</v>
      </c>
      <c r="G113" s="206" t="str">
        <f t="shared" si="36"/>
        <v>£m</v>
      </c>
      <c r="H113" s="206">
        <f t="shared" si="36"/>
        <v>121.14810826192262</v>
      </c>
      <c r="I113" s="206">
        <f t="shared" si="36"/>
        <v>0</v>
      </c>
      <c r="J113" s="206">
        <f t="shared" si="36"/>
        <v>0</v>
      </c>
      <c r="K113" s="206">
        <f t="shared" si="36"/>
        <v>0</v>
      </c>
      <c r="L113" s="206">
        <f t="shared" si="36"/>
        <v>0</v>
      </c>
      <c r="M113" s="206">
        <f t="shared" si="36"/>
        <v>0</v>
      </c>
      <c r="N113" s="206">
        <f t="shared" si="36"/>
        <v>0</v>
      </c>
      <c r="O113" s="206">
        <f t="shared" si="36"/>
        <v>0</v>
      </c>
      <c r="P113" s="206">
        <f t="shared" si="36"/>
        <v>1.2695887534549399</v>
      </c>
      <c r="Q113" s="206">
        <f t="shared" si="36"/>
        <v>2.5477836019555156</v>
      </c>
      <c r="R113" s="206">
        <f t="shared" si="36"/>
        <v>1.9778261869673628</v>
      </c>
      <c r="S113" s="206">
        <f t="shared" si="36"/>
        <v>-3.3475503385549956</v>
      </c>
      <c r="T113" s="206">
        <f t="shared" si="36"/>
        <v>118.70046005809979</v>
      </c>
      <c r="U113" s="206">
        <f t="shared" si="36"/>
        <v>0</v>
      </c>
      <c r="V113" s="206">
        <f t="shared" si="36"/>
        <v>0</v>
      </c>
      <c r="W113" s="206">
        <f t="shared" si="36"/>
        <v>0</v>
      </c>
    </row>
    <row r="114" spans="1:23" s="6" customFormat="1" ht="12.75" customHeight="1">
      <c r="A114" s="64"/>
      <c r="B114" s="64"/>
      <c r="C114" s="62"/>
      <c r="D114" s="159"/>
      <c r="E114" s="204" t="str">
        <f xml:space="preserve"> Time!E$63</f>
        <v>Forecast period counter</v>
      </c>
      <c r="F114" s="204">
        <f xml:space="preserve"> Time!F$63</f>
        <v>0</v>
      </c>
      <c r="G114" s="204" t="str">
        <f xml:space="preserve"> Time!G$63</f>
        <v>counter</v>
      </c>
      <c r="H114" s="204">
        <f xml:space="preserve"> Time!H$63</f>
        <v>0</v>
      </c>
      <c r="I114" s="204">
        <f xml:space="preserve"> Time!I$63</f>
        <v>0</v>
      </c>
      <c r="J114" s="204">
        <f xml:space="preserve"> Time!J$63</f>
        <v>0</v>
      </c>
      <c r="K114" s="204">
        <f xml:space="preserve"> Time!K$63</f>
        <v>0</v>
      </c>
      <c r="L114" s="204">
        <f xml:space="preserve"> Time!L$63</f>
        <v>0</v>
      </c>
      <c r="M114" s="204">
        <f xml:space="preserve"> Time!M$63</f>
        <v>0</v>
      </c>
      <c r="N114" s="204">
        <f xml:space="preserve"> Time!N$63</f>
        <v>0</v>
      </c>
      <c r="O114" s="204">
        <f xml:space="preserve"> Time!O$63</f>
        <v>0</v>
      </c>
      <c r="P114" s="204">
        <f xml:space="preserve"> Time!P$63</f>
        <v>1</v>
      </c>
      <c r="Q114" s="204">
        <f xml:space="preserve"> Time!Q$63</f>
        <v>2</v>
      </c>
      <c r="R114" s="204">
        <f xml:space="preserve"> Time!R$63</f>
        <v>3</v>
      </c>
      <c r="S114" s="204">
        <f xml:space="preserve"> Time!S$63</f>
        <v>4</v>
      </c>
      <c r="T114" s="204">
        <f xml:space="preserve"> Time!T$63</f>
        <v>5</v>
      </c>
      <c r="U114" s="204">
        <f xml:space="preserve"> Time!U$63</f>
        <v>0</v>
      </c>
      <c r="V114" s="204">
        <f xml:space="preserve"> Time!V$63</f>
        <v>0</v>
      </c>
      <c r="W114" s="204">
        <f xml:space="preserve"> Time!W$63</f>
        <v>0</v>
      </c>
    </row>
    <row r="115" spans="1:23" s="6" customFormat="1" ht="12.75" customHeight="1">
      <c r="A115" s="64"/>
      <c r="B115" s="64"/>
      <c r="C115" s="62"/>
      <c r="D115" s="159"/>
      <c r="E115" s="129" t="s">
        <v>327</v>
      </c>
      <c r="F115" s="101"/>
      <c r="G115" s="101" t="s">
        <v>97</v>
      </c>
      <c r="H115" s="93">
        <f xml:space="preserve"> SUM(J115:W115)</f>
        <v>6.1385793553378551</v>
      </c>
      <c r="I115" s="101"/>
      <c r="J115" s="93">
        <f t="shared" ref="J115:O115" si="37" xml:space="preserve"> IF(J114 &lt;= $F111 + 1,  J113 * (1 + $F112) * (1 + $F112), 0)</f>
        <v>0</v>
      </c>
      <c r="K115" s="93">
        <f t="shared" si="37"/>
        <v>0</v>
      </c>
      <c r="L115" s="93">
        <f t="shared" si="37"/>
        <v>0</v>
      </c>
      <c r="M115" s="93">
        <f t="shared" si="37"/>
        <v>0</v>
      </c>
      <c r="N115" s="93">
        <f xml:space="preserve"> IF(N114 &lt;= $F111 + 1,  N113 * (1 + $F112) * (1 + $F112), 0)</f>
        <v>0</v>
      </c>
      <c r="O115" s="93">
        <f t="shared" si="37"/>
        <v>0</v>
      </c>
      <c r="P115" s="93">
        <f t="shared" ref="P115:W115" si="38" xml:space="preserve"> IF(P114 &lt;= $F111 + 1,  P113 * (1 + $F112) * (1 + $F112), 0)</f>
        <v>1.344815238811454</v>
      </c>
      <c r="Q115" s="93">
        <f t="shared" si="38"/>
        <v>2.6987465065200884</v>
      </c>
      <c r="R115" s="93">
        <f t="shared" si="38"/>
        <v>2.095017610006312</v>
      </c>
      <c r="S115" s="93">
        <f t="shared" si="38"/>
        <v>0</v>
      </c>
      <c r="T115" s="93">
        <f t="shared" si="38"/>
        <v>0</v>
      </c>
      <c r="U115" s="93">
        <f t="shared" si="38"/>
        <v>0</v>
      </c>
      <c r="V115" s="93">
        <f t="shared" si="38"/>
        <v>0</v>
      </c>
      <c r="W115" s="93">
        <f t="shared" si="38"/>
        <v>0</v>
      </c>
    </row>
    <row r="116" spans="1:23" s="6" customFormat="1" ht="12.75" customHeight="1">
      <c r="A116" s="64"/>
      <c r="B116" s="64"/>
      <c r="C116" s="62"/>
      <c r="D116" s="159"/>
      <c r="E116" s="129"/>
      <c r="F116" s="101"/>
      <c r="G116" s="101"/>
      <c r="H116" s="101"/>
      <c r="I116" s="101"/>
      <c r="J116" s="101"/>
      <c r="K116" s="101"/>
      <c r="L116" s="101"/>
      <c r="M116" s="101"/>
      <c r="N116" s="101"/>
      <c r="O116" s="101"/>
      <c r="P116" s="101"/>
      <c r="Q116" s="101"/>
      <c r="R116" s="101"/>
      <c r="S116" s="101"/>
      <c r="T116" s="101"/>
      <c r="U116" s="101"/>
      <c r="V116" s="101"/>
      <c r="W116" s="101"/>
    </row>
    <row r="117" spans="1:23" s="6" customFormat="1" ht="12.75" customHeight="1">
      <c r="A117" s="64"/>
      <c r="B117" s="64"/>
      <c r="C117" s="62"/>
      <c r="D117" s="159"/>
      <c r="E117" s="43" t="str">
        <f xml:space="preserve"> 'Indices and K factor'!E$11</f>
        <v>CPIH: Nov % increase (prior year) - CALC</v>
      </c>
      <c r="F117" s="43">
        <f xml:space="preserve"> 'Indices and K factor'!F$11</f>
        <v>0</v>
      </c>
      <c r="G117" s="43" t="str">
        <f xml:space="preserve"> 'Indices and K factor'!G$11</f>
        <v>%</v>
      </c>
      <c r="H117" s="43">
        <f xml:space="preserve"> 'Indices and K factor'!H$11</f>
        <v>0</v>
      </c>
      <c r="I117" s="43">
        <f xml:space="preserve"> 'Indices and K factor'!I$11</f>
        <v>0</v>
      </c>
      <c r="J117" s="43">
        <f xml:space="preserve"> 'Indices and K factor'!J$11</f>
        <v>0</v>
      </c>
      <c r="K117" s="43">
        <f xml:space="preserve"> 'Indices and K factor'!K$11</f>
        <v>0</v>
      </c>
      <c r="L117" s="43">
        <f xml:space="preserve"> 'Indices and K factor'!L$11</f>
        <v>1.0040040040040039</v>
      </c>
      <c r="M117" s="43">
        <f xml:space="preserve"> 'Indices and K factor'!M$11</f>
        <v>1.0149551345962113</v>
      </c>
      <c r="N117" s="43">
        <f xml:space="preserve"> 'Indices and K factor'!N$11</f>
        <v>1.0284872298624754</v>
      </c>
      <c r="O117" s="43">
        <f xml:space="preserve"> 'Indices and K factor'!O$11</f>
        <v>1.0210124164278893</v>
      </c>
      <c r="P117" s="43">
        <f xml:space="preserve"> 'Indices and K factor'!P$11</f>
        <v>1.0149672591206735</v>
      </c>
      <c r="Q117" s="43">
        <f xml:space="preserve"> 'Indices and K factor'!Q$11</f>
        <v>1.0055299539170506</v>
      </c>
      <c r="R117" s="43">
        <f xml:space="preserve"> 'Indices and K factor'!R$11</f>
        <v>1.0458295142071494</v>
      </c>
      <c r="S117" s="43">
        <f xml:space="preserve"> 'Indices and K factor'!S$11</f>
        <v>1.0937773882559159</v>
      </c>
      <c r="T117" s="43">
        <f xml:space="preserve"> 'Indices and K factor'!T$11</f>
        <v>1.042059294871795</v>
      </c>
      <c r="U117" s="43">
        <f xml:space="preserve"> 'Indices and K factor'!U$11</f>
        <v>1.0312779542070039</v>
      </c>
      <c r="V117" s="43">
        <f xml:space="preserve"> 'Indices and K factor'!V$11</f>
        <v>1.02</v>
      </c>
      <c r="W117" s="43">
        <f xml:space="preserve"> 'Indices and K factor'!W$11</f>
        <v>1.02</v>
      </c>
    </row>
    <row r="118" spans="1:23" s="6" customFormat="1" ht="12.75" customHeight="1">
      <c r="A118" s="64"/>
      <c r="B118" s="64"/>
      <c r="C118" s="62"/>
      <c r="D118" s="159"/>
      <c r="E118" s="44" t="str">
        <f xml:space="preserve"> E$115</f>
        <v>Main revenue adjustment - with financing adjustment - Water Res</v>
      </c>
      <c r="F118" s="44">
        <f t="shared" ref="F118:W118" si="39" xml:space="preserve"> F$115</f>
        <v>0</v>
      </c>
      <c r="G118" s="44" t="str">
        <f t="shared" si="39"/>
        <v>£m</v>
      </c>
      <c r="H118" s="44">
        <f t="shared" si="39"/>
        <v>6.1385793553378551</v>
      </c>
      <c r="I118" s="44">
        <f t="shared" si="39"/>
        <v>0</v>
      </c>
      <c r="J118" s="44">
        <f t="shared" si="39"/>
        <v>0</v>
      </c>
      <c r="K118" s="44">
        <f t="shared" si="39"/>
        <v>0</v>
      </c>
      <c r="L118" s="44">
        <f t="shared" si="39"/>
        <v>0</v>
      </c>
      <c r="M118" s="44">
        <f t="shared" si="39"/>
        <v>0</v>
      </c>
      <c r="N118" s="44">
        <f t="shared" si="39"/>
        <v>0</v>
      </c>
      <c r="O118" s="44">
        <f t="shared" si="39"/>
        <v>0</v>
      </c>
      <c r="P118" s="44">
        <f t="shared" si="39"/>
        <v>1.344815238811454</v>
      </c>
      <c r="Q118" s="44">
        <f t="shared" si="39"/>
        <v>2.6987465065200884</v>
      </c>
      <c r="R118" s="44">
        <f t="shared" si="39"/>
        <v>2.095017610006312</v>
      </c>
      <c r="S118" s="44">
        <f t="shared" si="39"/>
        <v>0</v>
      </c>
      <c r="T118" s="44">
        <f t="shared" si="39"/>
        <v>0</v>
      </c>
      <c r="U118" s="44">
        <f t="shared" si="39"/>
        <v>0</v>
      </c>
      <c r="V118" s="44">
        <f t="shared" si="39"/>
        <v>0</v>
      </c>
      <c r="W118" s="44">
        <f t="shared" si="39"/>
        <v>0</v>
      </c>
    </row>
    <row r="119" spans="1:23" s="6" customFormat="1" ht="12.75" customHeight="1" thickBot="1">
      <c r="A119" s="64"/>
      <c r="B119" s="64"/>
      <c r="C119" s="62"/>
      <c r="D119" s="159"/>
      <c r="E119" s="219" t="s">
        <v>328</v>
      </c>
      <c r="F119" s="219"/>
      <c r="G119" s="219" t="s">
        <v>97</v>
      </c>
      <c r="H119" s="225">
        <f xml:space="preserve"> SUM(J119:W119)</f>
        <v>6.8891948463653545</v>
      </c>
      <c r="I119" s="222"/>
      <c r="J119" s="222">
        <f t="shared" ref="J119:T119" si="40" xml:space="preserve"> J118 * K117 * L117</f>
        <v>0</v>
      </c>
      <c r="K119" s="222">
        <f t="shared" si="40"/>
        <v>0</v>
      </c>
      <c r="L119" s="222">
        <f t="shared" si="40"/>
        <v>0</v>
      </c>
      <c r="M119" s="222">
        <f t="shared" si="40"/>
        <v>0</v>
      </c>
      <c r="N119" s="222">
        <f t="shared" si="40"/>
        <v>0</v>
      </c>
      <c r="O119" s="222">
        <f t="shared" si="40"/>
        <v>0</v>
      </c>
      <c r="P119" s="222">
        <f t="shared" si="40"/>
        <v>1.4142250575888193</v>
      </c>
      <c r="Q119" s="222">
        <f t="shared" si="40"/>
        <v>3.0871087443969478</v>
      </c>
      <c r="R119" s="222">
        <f t="shared" si="40"/>
        <v>2.3878610443795871</v>
      </c>
      <c r="S119" s="222">
        <f t="shared" si="40"/>
        <v>0</v>
      </c>
      <c r="T119" s="222">
        <f t="shared" si="40"/>
        <v>0</v>
      </c>
      <c r="U119" s="222">
        <f xml:space="preserve"> U118 * V117 * W117</f>
        <v>0</v>
      </c>
      <c r="V119" s="461"/>
      <c r="W119" s="461"/>
    </row>
    <row r="120" spans="1:23" s="260" customFormat="1" ht="12.75" customHeight="1" thickTop="1">
      <c r="A120" s="254"/>
      <c r="B120" s="254"/>
      <c r="C120" s="255"/>
      <c r="D120" s="256"/>
      <c r="E120" s="251"/>
      <c r="F120" s="257"/>
      <c r="G120" s="257"/>
      <c r="H120" s="258"/>
      <c r="I120" s="257"/>
      <c r="J120" s="259"/>
      <c r="K120" s="259"/>
      <c r="L120" s="259"/>
      <c r="M120" s="259"/>
      <c r="N120" s="259"/>
      <c r="O120" s="259"/>
      <c r="P120" s="259"/>
      <c r="Q120" s="259"/>
      <c r="R120" s="259"/>
      <c r="S120" s="259"/>
      <c r="T120" s="259"/>
      <c r="U120" s="259"/>
      <c r="V120" s="259"/>
      <c r="W120" s="259"/>
    </row>
    <row r="121" spans="1:23" ht="12.75" customHeight="1">
      <c r="A121" s="115" t="s">
        <v>329</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s="260" customFormat="1" ht="12.75" customHeight="1">
      <c r="A122" s="254"/>
      <c r="B122" s="254"/>
      <c r="C122" s="255"/>
      <c r="D122" s="256"/>
      <c r="E122" s="251"/>
      <c r="F122" s="257"/>
      <c r="G122" s="257"/>
      <c r="H122" s="258"/>
      <c r="I122" s="257"/>
      <c r="J122" s="259"/>
      <c r="K122" s="259"/>
      <c r="L122" s="259"/>
      <c r="M122" s="259"/>
      <c r="N122" s="259"/>
      <c r="O122" s="259"/>
      <c r="P122" s="259"/>
      <c r="Q122" s="259"/>
      <c r="R122" s="259"/>
      <c r="S122" s="259"/>
      <c r="T122" s="259"/>
      <c r="U122" s="259"/>
      <c r="V122" s="259"/>
      <c r="W122" s="259"/>
    </row>
    <row r="123" spans="1:23" ht="12.75" customHeight="1">
      <c r="B123" s="63" t="s">
        <v>330</v>
      </c>
    </row>
    <row r="124" spans="1:23" ht="12.75" customHeight="1"/>
    <row r="125" spans="1:23" s="155" customFormat="1" ht="13.2">
      <c r="A125" s="279"/>
      <c r="B125" s="279"/>
      <c r="C125" s="162"/>
      <c r="D125" s="280"/>
      <c r="E125" s="153" t="str">
        <f xml:space="preserve"> E$83</f>
        <v>Revenue Imbalance - Water-N+</v>
      </c>
      <c r="F125" s="153">
        <f t="shared" ref="F125:W125" si="41" xml:space="preserve"> F$83</f>
        <v>0</v>
      </c>
      <c r="G125" s="153" t="str">
        <f t="shared" si="41"/>
        <v>£m</v>
      </c>
      <c r="H125" s="276">
        <f t="shared" si="41"/>
        <v>1152.4523548870193</v>
      </c>
      <c r="I125" s="276">
        <f t="shared" si="41"/>
        <v>0</v>
      </c>
      <c r="J125" s="276">
        <f t="shared" si="41"/>
        <v>0</v>
      </c>
      <c r="K125" s="276">
        <f t="shared" si="41"/>
        <v>0</v>
      </c>
      <c r="L125" s="276">
        <f t="shared" si="41"/>
        <v>0</v>
      </c>
      <c r="M125" s="276">
        <f t="shared" si="41"/>
        <v>0</v>
      </c>
      <c r="N125" s="276">
        <f t="shared" si="41"/>
        <v>0</v>
      </c>
      <c r="O125" s="276">
        <f t="shared" si="41"/>
        <v>0</v>
      </c>
      <c r="P125" s="276">
        <f t="shared" si="41"/>
        <v>17.482668256280476</v>
      </c>
      <c r="Q125" s="276">
        <f t="shared" si="41"/>
        <v>30.931606068130918</v>
      </c>
      <c r="R125" s="276">
        <f t="shared" si="41"/>
        <v>27.691003044624722</v>
      </c>
      <c r="S125" s="276">
        <f t="shared" si="41"/>
        <v>21.216382882526432</v>
      </c>
      <c r="T125" s="276">
        <f t="shared" si="41"/>
        <v>1055.1306946354568</v>
      </c>
      <c r="U125" s="276">
        <f t="shared" si="41"/>
        <v>0</v>
      </c>
      <c r="V125" s="276">
        <f t="shared" si="41"/>
        <v>0</v>
      </c>
      <c r="W125" s="276">
        <f t="shared" si="41"/>
        <v>0</v>
      </c>
    </row>
    <row r="126" spans="1:23" s="282" customFormat="1" ht="12.75" customHeight="1">
      <c r="A126" s="183"/>
      <c r="B126" s="183"/>
      <c r="C126" s="184"/>
      <c r="D126" s="159"/>
      <c r="E126" s="211" t="str">
        <f xml:space="preserve"> E$95</f>
        <v>Revenue Imbalance - Water Res</v>
      </c>
      <c r="F126" s="211">
        <f t="shared" ref="F126:W126" si="42" xml:space="preserve"> F$95</f>
        <v>0</v>
      </c>
      <c r="G126" s="211" t="str">
        <f t="shared" si="42"/>
        <v>£m</v>
      </c>
      <c r="H126" s="233">
        <f t="shared" si="42"/>
        <v>121.14810826192262</v>
      </c>
      <c r="I126" s="233">
        <f t="shared" si="42"/>
        <v>0</v>
      </c>
      <c r="J126" s="233">
        <f t="shared" si="42"/>
        <v>0</v>
      </c>
      <c r="K126" s="233">
        <f t="shared" si="42"/>
        <v>0</v>
      </c>
      <c r="L126" s="233">
        <f t="shared" si="42"/>
        <v>0</v>
      </c>
      <c r="M126" s="233">
        <f t="shared" si="42"/>
        <v>0</v>
      </c>
      <c r="N126" s="233">
        <f t="shared" si="42"/>
        <v>0</v>
      </c>
      <c r="O126" s="233">
        <f t="shared" si="42"/>
        <v>0</v>
      </c>
      <c r="P126" s="233">
        <f t="shared" si="42"/>
        <v>1.2695887534549399</v>
      </c>
      <c r="Q126" s="233">
        <f t="shared" si="42"/>
        <v>2.5477836019555156</v>
      </c>
      <c r="R126" s="233">
        <f t="shared" si="42"/>
        <v>1.9778261869673628</v>
      </c>
      <c r="S126" s="233">
        <f t="shared" si="42"/>
        <v>-3.3475503385549956</v>
      </c>
      <c r="T126" s="233">
        <f t="shared" si="42"/>
        <v>118.70046005809979</v>
      </c>
      <c r="U126" s="233">
        <f t="shared" si="42"/>
        <v>0</v>
      </c>
      <c r="V126" s="233">
        <f t="shared" si="42"/>
        <v>0</v>
      </c>
      <c r="W126" s="233">
        <f t="shared" si="42"/>
        <v>0</v>
      </c>
    </row>
    <row r="127" spans="1:23" s="155" customFormat="1" ht="13.8" thickBot="1">
      <c r="A127" s="168"/>
      <c r="B127" s="168"/>
      <c r="C127" s="162"/>
      <c r="D127" s="163"/>
      <c r="E127" s="216" t="s">
        <v>331</v>
      </c>
      <c r="F127" s="216"/>
      <c r="G127" s="216" t="s">
        <v>97</v>
      </c>
      <c r="H127" s="218">
        <f xml:space="preserve"> SUM(J127:W127)</f>
        <v>1273.6004631489418</v>
      </c>
      <c r="I127" s="222"/>
      <c r="J127" s="221">
        <f xml:space="preserve"> J125 + J126</f>
        <v>0</v>
      </c>
      <c r="K127" s="221">
        <f t="shared" ref="K127:W127" si="43" xml:space="preserve"> K125 + K126</f>
        <v>0</v>
      </c>
      <c r="L127" s="221">
        <f t="shared" si="43"/>
        <v>0</v>
      </c>
      <c r="M127" s="221">
        <f t="shared" si="43"/>
        <v>0</v>
      </c>
      <c r="N127" s="221">
        <f t="shared" si="43"/>
        <v>0</v>
      </c>
      <c r="O127" s="221">
        <f t="shared" si="43"/>
        <v>0</v>
      </c>
      <c r="P127" s="221">
        <f t="shared" si="43"/>
        <v>18.752257009735416</v>
      </c>
      <c r="Q127" s="221">
        <f t="shared" si="43"/>
        <v>33.479389670086434</v>
      </c>
      <c r="R127" s="221">
        <f t="shared" si="43"/>
        <v>29.668829231592085</v>
      </c>
      <c r="S127" s="221">
        <f t="shared" si="43"/>
        <v>17.868832543971436</v>
      </c>
      <c r="T127" s="221">
        <f t="shared" si="43"/>
        <v>1173.8311546935565</v>
      </c>
      <c r="U127" s="221">
        <f t="shared" si="43"/>
        <v>0</v>
      </c>
      <c r="V127" s="221">
        <f t="shared" si="43"/>
        <v>0</v>
      </c>
      <c r="W127" s="221">
        <f t="shared" si="43"/>
        <v>0</v>
      </c>
    </row>
    <row r="128" spans="1:23" s="155" customFormat="1" ht="13.8" thickTop="1">
      <c r="A128" s="168"/>
      <c r="B128" s="168"/>
      <c r="C128" s="162"/>
      <c r="D128" s="163"/>
      <c r="E128" s="82"/>
      <c r="F128" s="82"/>
      <c r="G128" s="82"/>
      <c r="H128" s="182"/>
      <c r="I128" s="261"/>
      <c r="J128" s="227"/>
      <c r="K128" s="227"/>
      <c r="L128" s="227"/>
      <c r="M128" s="227"/>
      <c r="N128" s="227"/>
      <c r="O128" s="227"/>
      <c r="P128" s="227"/>
      <c r="Q128" s="227"/>
      <c r="R128" s="227"/>
      <c r="S128" s="227"/>
      <c r="T128" s="227"/>
      <c r="U128" s="227"/>
      <c r="V128" s="227"/>
      <c r="W128" s="227"/>
    </row>
    <row r="129" spans="1:23" s="155" customFormat="1" ht="13.2">
      <c r="A129" s="168"/>
      <c r="B129" s="168" t="s">
        <v>332</v>
      </c>
      <c r="C129" s="162"/>
      <c r="D129" s="163"/>
      <c r="E129" s="82"/>
      <c r="F129" s="82"/>
      <c r="G129" s="82"/>
      <c r="H129" s="182"/>
      <c r="I129" s="261"/>
      <c r="J129" s="227"/>
      <c r="K129" s="227"/>
      <c r="L129" s="227"/>
      <c r="M129" s="227"/>
      <c r="N129" s="227"/>
      <c r="O129" s="227"/>
      <c r="P129" s="227"/>
      <c r="Q129" s="227"/>
      <c r="R129" s="227"/>
      <c r="S129" s="227"/>
      <c r="T129" s="227"/>
      <c r="U129" s="227"/>
      <c r="V129" s="227"/>
      <c r="W129" s="227"/>
    </row>
    <row r="130" spans="1:23" s="155" customFormat="1" ht="13.2">
      <c r="A130" s="168"/>
      <c r="B130" s="168"/>
      <c r="C130" s="162"/>
      <c r="D130" s="163"/>
      <c r="E130" s="82"/>
      <c r="F130" s="82"/>
      <c r="G130" s="82"/>
      <c r="H130" s="182"/>
      <c r="I130" s="261"/>
      <c r="J130" s="227"/>
      <c r="K130" s="227"/>
      <c r="L130" s="227"/>
      <c r="M130" s="227"/>
      <c r="N130" s="227"/>
      <c r="O130" s="227"/>
      <c r="P130" s="227"/>
      <c r="Q130" s="227"/>
      <c r="R130" s="227"/>
      <c r="S130" s="227"/>
      <c r="T130" s="227"/>
      <c r="U130" s="227"/>
      <c r="V130" s="227"/>
      <c r="W130" s="227"/>
    </row>
    <row r="131" spans="1:23" s="153" customFormat="1" ht="12.75" customHeight="1">
      <c r="A131" s="151"/>
      <c r="B131" s="151"/>
      <c r="C131" s="152"/>
      <c r="D131" s="278"/>
      <c r="E131" s="153" t="str">
        <f xml:space="preserve"> E$79</f>
        <v>Adjusted allowed revenue - Water-N+</v>
      </c>
      <c r="F131" s="153">
        <f t="shared" ref="F131:W131" si="44" xml:space="preserve"> F$79</f>
        <v>0</v>
      </c>
      <c r="G131" s="153" t="str">
        <f t="shared" si="44"/>
        <v>£m</v>
      </c>
      <c r="H131" s="276">
        <f t="shared" si="44"/>
        <v>4804.094713485586</v>
      </c>
      <c r="I131" s="276">
        <f t="shared" si="44"/>
        <v>0</v>
      </c>
      <c r="J131" s="276">
        <f t="shared" si="44"/>
        <v>0</v>
      </c>
      <c r="K131" s="276">
        <f t="shared" si="44"/>
        <v>0</v>
      </c>
      <c r="L131" s="276">
        <f t="shared" si="44"/>
        <v>0</v>
      </c>
      <c r="M131" s="276">
        <f t="shared" si="44"/>
        <v>0</v>
      </c>
      <c r="N131" s="276">
        <f t="shared" si="44"/>
        <v>0</v>
      </c>
      <c r="O131" s="276">
        <f t="shared" si="44"/>
        <v>0</v>
      </c>
      <c r="P131" s="276">
        <f t="shared" si="44"/>
        <v>833.10366825628057</v>
      </c>
      <c r="Q131" s="276">
        <f t="shared" si="44"/>
        <v>899.69360606813086</v>
      </c>
      <c r="R131" s="276">
        <f t="shared" si="44"/>
        <v>939.33000304462473</v>
      </c>
      <c r="S131" s="276">
        <f t="shared" si="44"/>
        <v>1076.8367414810932</v>
      </c>
      <c r="T131" s="276">
        <f t="shared" si="44"/>
        <v>1055.1306946354568</v>
      </c>
      <c r="U131" s="276">
        <f t="shared" si="44"/>
        <v>0</v>
      </c>
      <c r="V131" s="276">
        <f t="shared" si="44"/>
        <v>0</v>
      </c>
      <c r="W131" s="276">
        <f t="shared" si="44"/>
        <v>0</v>
      </c>
    </row>
    <row r="132" spans="1:23" s="153" customFormat="1" ht="12.75" customHeight="1">
      <c r="A132" s="151"/>
      <c r="B132" s="151"/>
      <c r="C132" s="152"/>
      <c r="D132" s="278"/>
      <c r="E132" s="153" t="str">
        <f xml:space="preserve"> E$91</f>
        <v>Adjusted allowed revenue - Water Res</v>
      </c>
      <c r="F132" s="153">
        <f t="shared" ref="F132:W132" si="45" xml:space="preserve"> F$91</f>
        <v>0</v>
      </c>
      <c r="G132" s="153" t="str">
        <f t="shared" si="45"/>
        <v>£m</v>
      </c>
      <c r="H132" s="276">
        <f t="shared" si="45"/>
        <v>516.38610826192257</v>
      </c>
      <c r="I132" s="276">
        <f t="shared" si="45"/>
        <v>0</v>
      </c>
      <c r="J132" s="276">
        <f t="shared" si="45"/>
        <v>0</v>
      </c>
      <c r="K132" s="276">
        <f t="shared" si="45"/>
        <v>0</v>
      </c>
      <c r="L132" s="276">
        <f t="shared" si="45"/>
        <v>0</v>
      </c>
      <c r="M132" s="276">
        <f t="shared" si="45"/>
        <v>0</v>
      </c>
      <c r="N132" s="276">
        <f t="shared" si="45"/>
        <v>0</v>
      </c>
      <c r="O132" s="276">
        <f t="shared" si="45"/>
        <v>0</v>
      </c>
      <c r="P132" s="276">
        <f t="shared" si="45"/>
        <v>91.111588753454924</v>
      </c>
      <c r="Q132" s="276">
        <f t="shared" si="45"/>
        <v>95.168783601955525</v>
      </c>
      <c r="R132" s="276">
        <f t="shared" si="45"/>
        <v>99.973826186967358</v>
      </c>
      <c r="S132" s="276">
        <f t="shared" si="45"/>
        <v>111.431449661445</v>
      </c>
      <c r="T132" s="276">
        <f t="shared" si="45"/>
        <v>118.70046005809979</v>
      </c>
      <c r="U132" s="276">
        <f t="shared" si="45"/>
        <v>0</v>
      </c>
      <c r="V132" s="276">
        <f t="shared" si="45"/>
        <v>0</v>
      </c>
      <c r="W132" s="276">
        <f t="shared" si="45"/>
        <v>0</v>
      </c>
    </row>
    <row r="133" spans="1:23" s="153" customFormat="1" ht="12.75" customHeight="1">
      <c r="A133" s="151"/>
      <c r="B133" s="151"/>
      <c r="C133" s="152"/>
      <c r="D133" s="278"/>
      <c r="E133" s="153" t="s">
        <v>333</v>
      </c>
      <c r="G133" s="153" t="s">
        <v>97</v>
      </c>
      <c r="H133" s="276">
        <f xml:space="preserve"> SUM(J133:W133)</f>
        <v>5320.4808217475083</v>
      </c>
      <c r="I133" s="276"/>
      <c r="J133" s="276">
        <f xml:space="preserve"> J131 + J132</f>
        <v>0</v>
      </c>
      <c r="K133" s="276">
        <f t="shared" ref="K133:W133" si="46" xml:space="preserve"> K131 + K132</f>
        <v>0</v>
      </c>
      <c r="L133" s="276">
        <f t="shared" si="46"/>
        <v>0</v>
      </c>
      <c r="M133" s="276">
        <f t="shared" si="46"/>
        <v>0</v>
      </c>
      <c r="N133" s="276">
        <f t="shared" si="46"/>
        <v>0</v>
      </c>
      <c r="O133" s="276">
        <f t="shared" si="46"/>
        <v>0</v>
      </c>
      <c r="P133" s="276">
        <f t="shared" si="46"/>
        <v>924.21525700973552</v>
      </c>
      <c r="Q133" s="276">
        <f t="shared" si="46"/>
        <v>994.86238967008637</v>
      </c>
      <c r="R133" s="276">
        <f t="shared" si="46"/>
        <v>1039.3038292315921</v>
      </c>
      <c r="S133" s="276">
        <f t="shared" si="46"/>
        <v>1188.2681911425382</v>
      </c>
      <c r="T133" s="276">
        <f t="shared" si="46"/>
        <v>1173.8311546935565</v>
      </c>
      <c r="U133" s="276">
        <f t="shared" si="46"/>
        <v>0</v>
      </c>
      <c r="V133" s="276">
        <f t="shared" si="46"/>
        <v>0</v>
      </c>
      <c r="W133" s="276">
        <f t="shared" si="46"/>
        <v>0</v>
      </c>
    </row>
    <row r="134" spans="1:23" s="260" customFormat="1" ht="12.75" customHeight="1">
      <c r="A134" s="254"/>
      <c r="B134" s="254"/>
      <c r="C134" s="255"/>
      <c r="D134" s="256"/>
      <c r="E134" s="251"/>
      <c r="F134" s="257"/>
      <c r="G134" s="257"/>
      <c r="H134" s="258"/>
      <c r="I134" s="257"/>
      <c r="J134" s="259"/>
      <c r="K134" s="259"/>
      <c r="L134" s="259"/>
      <c r="M134" s="259"/>
      <c r="N134" s="259"/>
      <c r="O134" s="259"/>
      <c r="P134" s="259"/>
      <c r="Q134" s="259"/>
      <c r="R134" s="259"/>
      <c r="S134" s="259"/>
      <c r="T134" s="259"/>
      <c r="U134" s="259"/>
      <c r="V134" s="259"/>
      <c r="W134" s="259"/>
    </row>
    <row r="135" spans="1:23" ht="12.75" customHeight="1">
      <c r="A135" s="115" t="s">
        <v>334</v>
      </c>
      <c r="B135" s="115"/>
      <c r="C135" s="114"/>
      <c r="D135" s="115"/>
      <c r="E135" s="115"/>
      <c r="F135" s="115"/>
      <c r="G135" s="115"/>
      <c r="H135" s="115"/>
      <c r="I135" s="115"/>
      <c r="J135" s="115"/>
      <c r="K135" s="115"/>
      <c r="L135" s="115"/>
      <c r="M135" s="115"/>
      <c r="N135" s="115"/>
      <c r="O135" s="115"/>
      <c r="P135" s="115"/>
      <c r="Q135" s="115"/>
      <c r="R135" s="115"/>
      <c r="S135" s="115"/>
      <c r="T135" s="115"/>
      <c r="U135" s="115"/>
      <c r="V135" s="115"/>
      <c r="W135" s="115"/>
    </row>
    <row r="136" spans="1:23" ht="12.75" customHeight="1" outlineLevel="1">
      <c r="A136" s="63"/>
      <c r="C136" s="110"/>
      <c r="V136" s="57"/>
      <c r="W136" s="57"/>
    </row>
    <row r="137" spans="1:23" ht="12.75" customHeight="1" outlineLevel="1">
      <c r="A137" s="63"/>
      <c r="B137" s="63" t="s">
        <v>335</v>
      </c>
      <c r="C137" s="110"/>
      <c r="E137" s="130"/>
    </row>
    <row r="138" spans="1:23" ht="12.75" customHeight="1" outlineLevel="1">
      <c r="A138" s="63"/>
      <c r="C138" s="110"/>
      <c r="E138" s="130"/>
    </row>
    <row r="139" spans="1:23" s="309" customFormat="1" ht="12.75" customHeight="1" outlineLevel="1">
      <c r="A139" s="183"/>
      <c r="B139" s="183"/>
      <c r="C139" s="184"/>
      <c r="D139" s="308"/>
      <c r="E139" s="211" t="str">
        <f xml:space="preserve"> E$127</f>
        <v xml:space="preserve">Revenue Imbalance - Wholesale Water </v>
      </c>
      <c r="F139" s="211">
        <f t="shared" ref="F139:W139" si="47" xml:space="preserve"> F$127</f>
        <v>0</v>
      </c>
      <c r="G139" s="211" t="str">
        <f t="shared" si="47"/>
        <v>£m</v>
      </c>
      <c r="H139" s="233">
        <f t="shared" si="47"/>
        <v>1273.6004631489418</v>
      </c>
      <c r="I139" s="233">
        <f t="shared" si="47"/>
        <v>0</v>
      </c>
      <c r="J139" s="233">
        <f t="shared" si="47"/>
        <v>0</v>
      </c>
      <c r="K139" s="233">
        <f t="shared" si="47"/>
        <v>0</v>
      </c>
      <c r="L139" s="233">
        <f t="shared" si="47"/>
        <v>0</v>
      </c>
      <c r="M139" s="233">
        <f t="shared" si="47"/>
        <v>0</v>
      </c>
      <c r="N139" s="233">
        <f t="shared" si="47"/>
        <v>0</v>
      </c>
      <c r="O139" s="233">
        <f t="shared" si="47"/>
        <v>0</v>
      </c>
      <c r="P139" s="233">
        <f t="shared" si="47"/>
        <v>18.752257009735416</v>
      </c>
      <c r="Q139" s="233">
        <f t="shared" si="47"/>
        <v>33.479389670086434</v>
      </c>
      <c r="R139" s="233">
        <f t="shared" si="47"/>
        <v>29.668829231592085</v>
      </c>
      <c r="S139" s="233">
        <f t="shared" si="47"/>
        <v>17.868832543971436</v>
      </c>
      <c r="T139" s="233">
        <f t="shared" si="47"/>
        <v>1173.8311546935565</v>
      </c>
      <c r="U139" s="233">
        <f t="shared" si="47"/>
        <v>0</v>
      </c>
      <c r="V139" s="233">
        <f t="shared" si="47"/>
        <v>0</v>
      </c>
      <c r="W139" s="233">
        <f t="shared" si="47"/>
        <v>0</v>
      </c>
    </row>
    <row r="140" spans="1:23" s="129" customFormat="1" ht="12.75" customHeight="1" outlineLevel="1">
      <c r="A140" s="166"/>
      <c r="B140" s="166"/>
      <c r="C140" s="167"/>
      <c r="D140" s="75"/>
      <c r="E140" s="205" t="str">
        <f t="shared" ref="E140:W140" si="48" xml:space="preserve"> E$133</f>
        <v>Adjusted allowed revenue - Wholesale Water</v>
      </c>
      <c r="F140" s="205">
        <f t="shared" si="48"/>
        <v>0</v>
      </c>
      <c r="G140" s="205" t="str">
        <f t="shared" si="48"/>
        <v>£m</v>
      </c>
      <c r="H140" s="44">
        <f t="shared" si="48"/>
        <v>5320.4808217475083</v>
      </c>
      <c r="I140" s="44">
        <f t="shared" si="48"/>
        <v>0</v>
      </c>
      <c r="J140" s="44">
        <f t="shared" si="48"/>
        <v>0</v>
      </c>
      <c r="K140" s="44">
        <f t="shared" si="48"/>
        <v>0</v>
      </c>
      <c r="L140" s="44">
        <f t="shared" si="48"/>
        <v>0</v>
      </c>
      <c r="M140" s="44">
        <f t="shared" si="48"/>
        <v>0</v>
      </c>
      <c r="N140" s="44">
        <f t="shared" si="48"/>
        <v>0</v>
      </c>
      <c r="O140" s="44">
        <f t="shared" si="48"/>
        <v>0</v>
      </c>
      <c r="P140" s="44">
        <f t="shared" si="48"/>
        <v>924.21525700973552</v>
      </c>
      <c r="Q140" s="44">
        <f t="shared" si="48"/>
        <v>994.86238967008637</v>
      </c>
      <c r="R140" s="44">
        <f t="shared" si="48"/>
        <v>1039.3038292315921</v>
      </c>
      <c r="S140" s="44">
        <f t="shared" si="48"/>
        <v>1188.2681911425382</v>
      </c>
      <c r="T140" s="44">
        <f t="shared" si="48"/>
        <v>1173.8311546935565</v>
      </c>
      <c r="U140" s="44">
        <f t="shared" si="48"/>
        <v>0</v>
      </c>
      <c r="V140" s="44">
        <f t="shared" si="48"/>
        <v>0</v>
      </c>
      <c r="W140" s="44">
        <f t="shared" si="48"/>
        <v>0</v>
      </c>
    </row>
    <row r="141" spans="1:23" s="6" customFormat="1" ht="12.75" customHeight="1" outlineLevel="1">
      <c r="A141" s="64"/>
      <c r="B141" s="64"/>
      <c r="C141" s="62"/>
      <c r="D141" s="159"/>
      <c r="E141" s="101" t="s">
        <v>336</v>
      </c>
      <c r="F141" s="101"/>
      <c r="G141" s="101" t="s">
        <v>173</v>
      </c>
      <c r="H141" s="39"/>
      <c r="I141" s="101"/>
      <c r="J141" s="39">
        <f xml:space="preserve"> IF( J140 = 0, 0, ABS( J139 / J140 ) )</f>
        <v>0</v>
      </c>
      <c r="K141" s="39">
        <f t="shared" ref="K141:W141" si="49" xml:space="preserve"> IF( K140 = 0, 0, ABS( K139 / K140 ) )</f>
        <v>0</v>
      </c>
      <c r="L141" s="39">
        <f t="shared" si="49"/>
        <v>0</v>
      </c>
      <c r="M141" s="39">
        <f t="shared" si="49"/>
        <v>0</v>
      </c>
      <c r="N141" s="39">
        <f t="shared" si="49"/>
        <v>0</v>
      </c>
      <c r="O141" s="39">
        <f t="shared" si="49"/>
        <v>0</v>
      </c>
      <c r="P141" s="39">
        <f t="shared" si="49"/>
        <v>2.0289923659567853E-2</v>
      </c>
      <c r="Q141" s="39">
        <f t="shared" si="49"/>
        <v>3.3652281981620374E-2</v>
      </c>
      <c r="R141" s="39">
        <f t="shared" si="49"/>
        <v>2.8546829519071139E-2</v>
      </c>
      <c r="S141" s="39">
        <f t="shared" si="49"/>
        <v>1.5037710070140209E-2</v>
      </c>
      <c r="T141" s="39">
        <f t="shared" si="49"/>
        <v>1</v>
      </c>
      <c r="U141" s="39">
        <f t="shared" si="49"/>
        <v>0</v>
      </c>
      <c r="V141" s="39">
        <f t="shared" si="49"/>
        <v>0</v>
      </c>
      <c r="W141" s="39">
        <f t="shared" si="49"/>
        <v>0</v>
      </c>
    </row>
    <row r="142" spans="1:23" ht="12.75" customHeight="1" outlineLevel="1">
      <c r="A142" s="63"/>
      <c r="C142" s="110"/>
      <c r="E142" s="74"/>
    </row>
    <row r="143" spans="1:23" ht="12.75" customHeight="1" outlineLevel="1">
      <c r="A143" s="63"/>
      <c r="C143" s="110"/>
      <c r="E143" s="36" t="str">
        <f xml:space="preserve"> Inputs!E$57</f>
        <v>Minimum threshold</v>
      </c>
      <c r="F143" s="36">
        <f xml:space="preserve"> Inputs!F$57</f>
        <v>0.02</v>
      </c>
      <c r="G143" s="36" t="str">
        <f xml:space="preserve"> Inputs!G$57</f>
        <v>%</v>
      </c>
      <c r="H143" s="36">
        <f xml:space="preserve"> Inputs!H$57</f>
        <v>0</v>
      </c>
      <c r="I143" s="36">
        <f xml:space="preserve"> Inputs!I$57</f>
        <v>0</v>
      </c>
      <c r="J143" s="36">
        <f xml:space="preserve"> Inputs!J$57</f>
        <v>0</v>
      </c>
      <c r="K143" s="36">
        <f xml:space="preserve"> Inputs!K$57</f>
        <v>0</v>
      </c>
      <c r="L143" s="36">
        <f xml:space="preserve"> Inputs!L$57</f>
        <v>0</v>
      </c>
      <c r="M143" s="36">
        <f xml:space="preserve"> Inputs!M$57</f>
        <v>0</v>
      </c>
      <c r="N143" s="36">
        <f xml:space="preserve"> Inputs!N$57</f>
        <v>0</v>
      </c>
      <c r="O143" s="36">
        <f xml:space="preserve"> Inputs!O$57</f>
        <v>0</v>
      </c>
      <c r="P143" s="36">
        <f xml:space="preserve"> Inputs!P$57</f>
        <v>0</v>
      </c>
      <c r="Q143" s="36">
        <f xml:space="preserve"> Inputs!Q$57</f>
        <v>0</v>
      </c>
      <c r="R143" s="36">
        <f xml:space="preserve"> Inputs!R$57</f>
        <v>0</v>
      </c>
      <c r="S143" s="36">
        <f xml:space="preserve"> Inputs!S$57</f>
        <v>0</v>
      </c>
      <c r="T143" s="36">
        <f xml:space="preserve"> Inputs!T$57</f>
        <v>0</v>
      </c>
      <c r="U143" s="36">
        <f xml:space="preserve"> Inputs!U$57</f>
        <v>0</v>
      </c>
      <c r="V143" s="36">
        <f xml:space="preserve"> Inputs!V$57</f>
        <v>0</v>
      </c>
      <c r="W143" s="36">
        <f xml:space="preserve"> Inputs!W$57</f>
        <v>0</v>
      </c>
    </row>
    <row r="144" spans="1:23" ht="12.75" customHeight="1" outlineLevel="1">
      <c r="E144" s="38" t="str">
        <f xml:space="preserve"> E$141</f>
        <v>Forecast error - Wholesale Water</v>
      </c>
      <c r="F144" s="38">
        <f xml:space="preserve"> F$141</f>
        <v>0</v>
      </c>
      <c r="G144" s="38" t="str">
        <f xml:space="preserve"> G$141</f>
        <v>%</v>
      </c>
      <c r="H144" s="38">
        <f xml:space="preserve"> H$141</f>
        <v>0</v>
      </c>
      <c r="I144" s="38">
        <f xml:space="preserve"> I$141</f>
        <v>0</v>
      </c>
      <c r="J144" s="38">
        <f t="shared" ref="J144:T144" si="50" xml:space="preserve"> J$141</f>
        <v>0</v>
      </c>
      <c r="K144" s="38">
        <f t="shared" si="50"/>
        <v>0</v>
      </c>
      <c r="L144" s="38">
        <f t="shared" si="50"/>
        <v>0</v>
      </c>
      <c r="M144" s="38">
        <f t="shared" si="50"/>
        <v>0</v>
      </c>
      <c r="N144" s="38">
        <f t="shared" si="50"/>
        <v>0</v>
      </c>
      <c r="O144" s="38">
        <f t="shared" si="50"/>
        <v>0</v>
      </c>
      <c r="P144" s="38">
        <f xml:space="preserve"> P$141</f>
        <v>2.0289923659567853E-2</v>
      </c>
      <c r="Q144" s="38">
        <f t="shared" si="50"/>
        <v>3.3652281981620374E-2</v>
      </c>
      <c r="R144" s="38">
        <f t="shared" si="50"/>
        <v>2.8546829519071139E-2</v>
      </c>
      <c r="S144" s="38">
        <f t="shared" si="50"/>
        <v>1.5037710070140209E-2</v>
      </c>
      <c r="T144" s="38">
        <f t="shared" si="50"/>
        <v>1</v>
      </c>
      <c r="U144" s="38">
        <f xml:space="preserve"> U$141</f>
        <v>0</v>
      </c>
      <c r="V144" s="38">
        <f xml:space="preserve"> V$141</f>
        <v>0</v>
      </c>
      <c r="W144" s="38">
        <f xml:space="preserve"> W$141</f>
        <v>0</v>
      </c>
    </row>
    <row r="145" spans="1:23" ht="12.75" customHeight="1" outlineLevel="1">
      <c r="A145" s="63"/>
      <c r="C145" s="110"/>
      <c r="E145" s="74" t="s">
        <v>337</v>
      </c>
      <c r="G145" s="57" t="s">
        <v>240</v>
      </c>
      <c r="J145" s="57">
        <f t="shared" ref="J145:T145" si="51" xml:space="preserve"> IF(J144 &gt; $F143, 1, 0)</f>
        <v>0</v>
      </c>
      <c r="K145" s="57">
        <f t="shared" si="51"/>
        <v>0</v>
      </c>
      <c r="L145" s="57">
        <f t="shared" si="51"/>
        <v>0</v>
      </c>
      <c r="M145" s="57">
        <f t="shared" si="51"/>
        <v>0</v>
      </c>
      <c r="N145" s="57">
        <f t="shared" si="51"/>
        <v>0</v>
      </c>
      <c r="O145" s="57">
        <f t="shared" si="51"/>
        <v>0</v>
      </c>
      <c r="P145" s="57">
        <f xml:space="preserve"> IF(P144 &gt; $F143, 1, 0)</f>
        <v>1</v>
      </c>
      <c r="Q145" s="57">
        <f t="shared" si="51"/>
        <v>1</v>
      </c>
      <c r="R145" s="57">
        <f t="shared" si="51"/>
        <v>1</v>
      </c>
      <c r="S145" s="57">
        <f t="shared" si="51"/>
        <v>0</v>
      </c>
      <c r="T145" s="57">
        <f t="shared" si="51"/>
        <v>1</v>
      </c>
      <c r="U145" s="57">
        <f xml:space="preserve"> IF(U144 &gt; $F143, 1, 0)</f>
        <v>0</v>
      </c>
      <c r="V145" s="57">
        <f xml:space="preserve"> IF(V144 &gt; $F143, 1, 0)</f>
        <v>0</v>
      </c>
      <c r="W145" s="57">
        <f xml:space="preserve"> IF(W144 &gt; $F143, 1, 0)</f>
        <v>0</v>
      </c>
    </row>
    <row r="146" spans="1:23" ht="12.75" customHeight="1" outlineLevel="1">
      <c r="A146" s="63"/>
      <c r="C146" s="110"/>
      <c r="E146" s="74"/>
    </row>
    <row r="147" spans="1:23" ht="12.75" customHeight="1" outlineLevel="1">
      <c r="A147" s="63"/>
      <c r="C147" s="110"/>
      <c r="E147" s="36" t="str">
        <f xml:space="preserve"> Inputs!E$57</f>
        <v>Minimum threshold</v>
      </c>
      <c r="F147" s="36">
        <f xml:space="preserve"> Inputs!F$57</f>
        <v>0.02</v>
      </c>
      <c r="G147" s="36" t="str">
        <f xml:space="preserve"> Inputs!G$57</f>
        <v>%</v>
      </c>
      <c r="H147" s="36">
        <f xml:space="preserve"> Inputs!H$57</f>
        <v>0</v>
      </c>
      <c r="I147" s="36">
        <f xml:space="preserve"> Inputs!I$57</f>
        <v>0</v>
      </c>
      <c r="J147" s="36">
        <f xml:space="preserve"> Inputs!J$57</f>
        <v>0</v>
      </c>
      <c r="K147" s="36">
        <f xml:space="preserve"> Inputs!K$57</f>
        <v>0</v>
      </c>
      <c r="L147" s="36">
        <f xml:space="preserve"> Inputs!L$57</f>
        <v>0</v>
      </c>
      <c r="M147" s="36">
        <f xml:space="preserve"> Inputs!M$57</f>
        <v>0</v>
      </c>
      <c r="N147" s="36">
        <f xml:space="preserve"> Inputs!N$57</f>
        <v>0</v>
      </c>
      <c r="O147" s="36">
        <f xml:space="preserve"> Inputs!O$57</f>
        <v>0</v>
      </c>
      <c r="P147" s="36">
        <f xml:space="preserve"> Inputs!P$57</f>
        <v>0</v>
      </c>
      <c r="Q147" s="36">
        <f xml:space="preserve"> Inputs!Q$57</f>
        <v>0</v>
      </c>
      <c r="R147" s="36">
        <f xml:space="preserve"> Inputs!R$57</f>
        <v>0</v>
      </c>
      <c r="S147" s="36">
        <f xml:space="preserve"> Inputs!S$57</f>
        <v>0</v>
      </c>
      <c r="T147" s="36">
        <f xml:space="preserve"> Inputs!T$57</f>
        <v>0</v>
      </c>
      <c r="U147" s="36">
        <f xml:space="preserve"> Inputs!U$57</f>
        <v>0</v>
      </c>
      <c r="V147" s="36">
        <f xml:space="preserve"> Inputs!V$57</f>
        <v>0</v>
      </c>
      <c r="W147" s="36">
        <f xml:space="preserve"> Inputs!W$57</f>
        <v>0</v>
      </c>
    </row>
    <row r="148" spans="1:23" ht="12.75" customHeight="1" outlineLevel="1">
      <c r="A148" s="63"/>
      <c r="C148" s="110"/>
      <c r="E148" s="36" t="str">
        <f xml:space="preserve"> Inputs!E$59</f>
        <v>Maximum threshold</v>
      </c>
      <c r="F148" s="36">
        <f xml:space="preserve"> Inputs!F$59</f>
        <v>0.03</v>
      </c>
      <c r="G148" s="36" t="str">
        <f xml:space="preserve"> Inputs!G$59</f>
        <v>%</v>
      </c>
      <c r="H148" s="36">
        <f xml:space="preserve"> Inputs!H$59</f>
        <v>0</v>
      </c>
      <c r="I148" s="36">
        <f xml:space="preserve"> Inputs!I$59</f>
        <v>0</v>
      </c>
      <c r="J148" s="36">
        <f xml:space="preserve"> Inputs!J$59</f>
        <v>0</v>
      </c>
      <c r="K148" s="36">
        <f xml:space="preserve"> Inputs!K$59</f>
        <v>0</v>
      </c>
      <c r="L148" s="36">
        <f xml:space="preserve"> Inputs!L$59</f>
        <v>0</v>
      </c>
      <c r="M148" s="36">
        <f xml:space="preserve"> Inputs!M$59</f>
        <v>0</v>
      </c>
      <c r="N148" s="36">
        <f xml:space="preserve"> Inputs!N$59</f>
        <v>0</v>
      </c>
      <c r="O148" s="36">
        <f xml:space="preserve"> Inputs!O$59</f>
        <v>0</v>
      </c>
      <c r="P148" s="36">
        <f xml:space="preserve"> Inputs!P$59</f>
        <v>0</v>
      </c>
      <c r="Q148" s="36">
        <f xml:space="preserve"> Inputs!Q$59</f>
        <v>0</v>
      </c>
      <c r="R148" s="36">
        <f xml:space="preserve"> Inputs!R$59</f>
        <v>0</v>
      </c>
      <c r="S148" s="36">
        <f xml:space="preserve"> Inputs!S$59</f>
        <v>0</v>
      </c>
      <c r="T148" s="36">
        <f xml:space="preserve"> Inputs!T$59</f>
        <v>0</v>
      </c>
      <c r="U148" s="36">
        <f xml:space="preserve"> Inputs!U$59</f>
        <v>0</v>
      </c>
      <c r="V148" s="36">
        <f xml:space="preserve"> Inputs!V$59</f>
        <v>0</v>
      </c>
      <c r="W148" s="36">
        <f xml:space="preserve"> Inputs!W$59</f>
        <v>0</v>
      </c>
    </row>
    <row r="149" spans="1:23" ht="12.75" customHeight="1" outlineLevel="1">
      <c r="E149" s="38" t="str">
        <f t="shared" ref="E149:T149" si="52" xml:space="preserve"> E$141</f>
        <v>Forecast error - Wholesale Water</v>
      </c>
      <c r="F149" s="38">
        <f t="shared" si="52"/>
        <v>0</v>
      </c>
      <c r="G149" s="38" t="str">
        <f t="shared" si="52"/>
        <v>%</v>
      </c>
      <c r="H149" s="38">
        <f t="shared" si="52"/>
        <v>0</v>
      </c>
      <c r="I149" s="38">
        <f t="shared" si="52"/>
        <v>0</v>
      </c>
      <c r="J149" s="38">
        <f t="shared" si="52"/>
        <v>0</v>
      </c>
      <c r="K149" s="38">
        <f t="shared" si="52"/>
        <v>0</v>
      </c>
      <c r="L149" s="38">
        <f t="shared" si="52"/>
        <v>0</v>
      </c>
      <c r="M149" s="38">
        <f t="shared" si="52"/>
        <v>0</v>
      </c>
      <c r="N149" s="38">
        <f t="shared" si="52"/>
        <v>0</v>
      </c>
      <c r="O149" s="38">
        <f t="shared" si="52"/>
        <v>0</v>
      </c>
      <c r="P149" s="38">
        <f xml:space="preserve"> P$141</f>
        <v>2.0289923659567853E-2</v>
      </c>
      <c r="Q149" s="38">
        <f t="shared" si="52"/>
        <v>3.3652281981620374E-2</v>
      </c>
      <c r="R149" s="38">
        <f t="shared" si="52"/>
        <v>2.8546829519071139E-2</v>
      </c>
      <c r="S149" s="38">
        <f t="shared" si="52"/>
        <v>1.5037710070140209E-2</v>
      </c>
      <c r="T149" s="38">
        <f t="shared" si="52"/>
        <v>1</v>
      </c>
      <c r="U149" s="38">
        <f xml:space="preserve"> U$141</f>
        <v>0</v>
      </c>
      <c r="V149" s="38">
        <f xml:space="preserve"> V$141</f>
        <v>0</v>
      </c>
      <c r="W149" s="38">
        <f xml:space="preserve"> W$141</f>
        <v>0</v>
      </c>
    </row>
    <row r="150" spans="1:23" ht="12.75" customHeight="1" outlineLevel="1">
      <c r="A150" s="63"/>
      <c r="C150" s="110"/>
      <c r="E150" s="57" t="str">
        <f t="shared" ref="E150:T150" si="53" xml:space="preserve"> E$145</f>
        <v>Penalty applicable - Wholesale Water</v>
      </c>
      <c r="F150" s="57">
        <f t="shared" si="53"/>
        <v>0</v>
      </c>
      <c r="G150" s="57" t="str">
        <f t="shared" si="53"/>
        <v>flag</v>
      </c>
      <c r="H150" s="57">
        <f t="shared" si="53"/>
        <v>0</v>
      </c>
      <c r="I150" s="57">
        <f t="shared" si="53"/>
        <v>0</v>
      </c>
      <c r="J150" s="57">
        <f t="shared" si="53"/>
        <v>0</v>
      </c>
      <c r="K150" s="57">
        <f t="shared" si="53"/>
        <v>0</v>
      </c>
      <c r="L150" s="57">
        <f t="shared" si="53"/>
        <v>0</v>
      </c>
      <c r="M150" s="57">
        <f t="shared" si="53"/>
        <v>0</v>
      </c>
      <c r="N150" s="57">
        <f t="shared" si="53"/>
        <v>0</v>
      </c>
      <c r="O150" s="57">
        <f t="shared" si="53"/>
        <v>0</v>
      </c>
      <c r="P150" s="57">
        <f xml:space="preserve"> P$145</f>
        <v>1</v>
      </c>
      <c r="Q150" s="57">
        <f t="shared" si="53"/>
        <v>1</v>
      </c>
      <c r="R150" s="57">
        <f t="shared" si="53"/>
        <v>1</v>
      </c>
      <c r="S150" s="57">
        <f t="shared" si="53"/>
        <v>0</v>
      </c>
      <c r="T150" s="57">
        <f t="shared" si="53"/>
        <v>1</v>
      </c>
      <c r="U150" s="57">
        <f xml:space="preserve"> U$145</f>
        <v>0</v>
      </c>
      <c r="V150" s="57">
        <f xml:space="preserve"> V$145</f>
        <v>0</v>
      </c>
      <c r="W150" s="57">
        <f xml:space="preserve"> W$145</f>
        <v>0</v>
      </c>
    </row>
    <row r="151" spans="1:23" ht="12.75" customHeight="1" outlineLevel="1">
      <c r="A151" s="63"/>
      <c r="C151" s="110"/>
      <c r="E151" s="57" t="s">
        <v>338</v>
      </c>
      <c r="G151" s="57" t="s">
        <v>287</v>
      </c>
      <c r="J151" s="4">
        <f xml:space="preserve"> IF(J150 = 1, (J149 - $F147) / ($F148 - $F147), 0)</f>
        <v>0</v>
      </c>
      <c r="K151" s="4">
        <f xml:space="preserve"> IF(K150 = 1, (K149 - $F147) / ($F148 - $F147), 0)</f>
        <v>0</v>
      </c>
      <c r="L151" s="4">
        <f xml:space="preserve"> IF(L150 = 1, (L149 - $F147) / ($F148 - $F147), 0)</f>
        <v>0</v>
      </c>
      <c r="M151" s="4">
        <f t="shared" ref="M151:T151" si="54" xml:space="preserve"> IF(M150 = 1, (M149 - $F147) / ($F148 - $F147), 0)</f>
        <v>0</v>
      </c>
      <c r="N151" s="4">
        <f t="shared" si="54"/>
        <v>0</v>
      </c>
      <c r="O151" s="4">
        <f t="shared" si="54"/>
        <v>0</v>
      </c>
      <c r="P151" s="35">
        <f xml:space="preserve"> IF(P150 = 1, (P149 - $F147) / ($F148 - $F147), 0)</f>
        <v>2.8992365956785272E-2</v>
      </c>
      <c r="Q151" s="35">
        <f t="shared" si="54"/>
        <v>1.3652281981620376</v>
      </c>
      <c r="R151" s="35">
        <f t="shared" si="54"/>
        <v>0.85468295190711407</v>
      </c>
      <c r="S151" s="35">
        <f t="shared" si="54"/>
        <v>0</v>
      </c>
      <c r="T151" s="35">
        <f t="shared" si="54"/>
        <v>98.000000000000014</v>
      </c>
      <c r="U151" s="4">
        <f xml:space="preserve"> IF(U150 = 1, (U149 - $F147) / ($F148 - $F147), 0)</f>
        <v>0</v>
      </c>
      <c r="V151" s="4">
        <f xml:space="preserve"> IF(V150 = 1, (V149 - $F147) / ($F148 - $F147), 0)</f>
        <v>0</v>
      </c>
      <c r="W151" s="4">
        <f xml:space="preserve"> IF(W150 = 1, (W149 - $F147) / ($F148 - $F147), 0)</f>
        <v>0</v>
      </c>
    </row>
    <row r="152" spans="1:23" ht="12.75" customHeight="1" outlineLevel="1">
      <c r="A152" s="63"/>
      <c r="C152" s="110"/>
      <c r="E152" s="74"/>
      <c r="V152" s="57"/>
      <c r="W152" s="57"/>
    </row>
    <row r="153" spans="1:23" ht="12.75" customHeight="1" outlineLevel="1">
      <c r="A153" s="63"/>
      <c r="C153" s="110"/>
      <c r="E153" s="36" t="str">
        <f xml:space="preserve"> Inputs!E$61</f>
        <v>Penalty level</v>
      </c>
      <c r="F153" s="36">
        <f xml:space="preserve"> Inputs!F$61</f>
        <v>0.03</v>
      </c>
      <c r="G153" s="36" t="str">
        <f xml:space="preserve"> Inputs!G$61</f>
        <v>%</v>
      </c>
      <c r="H153" s="36">
        <f xml:space="preserve"> Inputs!H$61</f>
        <v>0</v>
      </c>
      <c r="I153" s="36">
        <f xml:space="preserve"> Inputs!I$61</f>
        <v>0</v>
      </c>
      <c r="J153" s="36">
        <f xml:space="preserve"> Inputs!J$61</f>
        <v>0</v>
      </c>
      <c r="K153" s="36">
        <f xml:space="preserve"> Inputs!K$61</f>
        <v>0</v>
      </c>
      <c r="L153" s="36">
        <f xml:space="preserve"> Inputs!L$61</f>
        <v>0</v>
      </c>
      <c r="M153" s="36">
        <f xml:space="preserve"> Inputs!M$61</f>
        <v>0</v>
      </c>
      <c r="N153" s="36">
        <f xml:space="preserve"> Inputs!N$61</f>
        <v>0</v>
      </c>
      <c r="O153" s="36">
        <f xml:space="preserve"> Inputs!O$61</f>
        <v>0</v>
      </c>
      <c r="P153" s="36">
        <f xml:space="preserve"> Inputs!P$61</f>
        <v>0</v>
      </c>
      <c r="Q153" s="36">
        <f xml:space="preserve"> Inputs!Q$61</f>
        <v>0</v>
      </c>
      <c r="R153" s="36">
        <f xml:space="preserve"> Inputs!R$61</f>
        <v>0</v>
      </c>
      <c r="S153" s="36">
        <f xml:space="preserve"> Inputs!S$61</f>
        <v>0</v>
      </c>
      <c r="T153" s="36">
        <f xml:space="preserve"> Inputs!T$61</f>
        <v>0</v>
      </c>
      <c r="U153" s="36">
        <f xml:space="preserve"> Inputs!U$61</f>
        <v>0</v>
      </c>
      <c r="V153" s="36">
        <f xml:space="preserve"> Inputs!V$61</f>
        <v>0</v>
      </c>
      <c r="W153" s="36">
        <f xml:space="preserve"> Inputs!W$61</f>
        <v>0</v>
      </c>
    </row>
    <row r="154" spans="1:23" ht="12.75" customHeight="1" outlineLevel="1">
      <c r="A154" s="63"/>
      <c r="C154" s="110"/>
      <c r="E154" s="4" t="str">
        <f t="shared" ref="E154:T154" si="55" xml:space="preserve"> E$151</f>
        <v>Error magnitude - Wholesale Water</v>
      </c>
      <c r="F154" s="4">
        <f t="shared" si="55"/>
        <v>0</v>
      </c>
      <c r="G154" s="4" t="str">
        <f t="shared" si="55"/>
        <v>factor</v>
      </c>
      <c r="H154" s="4">
        <f t="shared" si="55"/>
        <v>0</v>
      </c>
      <c r="I154" s="4">
        <f t="shared" si="55"/>
        <v>0</v>
      </c>
      <c r="J154" s="4">
        <f t="shared" si="55"/>
        <v>0</v>
      </c>
      <c r="K154" s="4">
        <f t="shared" si="55"/>
        <v>0</v>
      </c>
      <c r="L154" s="4">
        <f t="shared" si="55"/>
        <v>0</v>
      </c>
      <c r="M154" s="4">
        <f t="shared" si="55"/>
        <v>0</v>
      </c>
      <c r="N154" s="4">
        <f t="shared" si="55"/>
        <v>0</v>
      </c>
      <c r="O154" s="4">
        <f t="shared" si="55"/>
        <v>0</v>
      </c>
      <c r="P154" s="201">
        <f xml:space="preserve"> P$151</f>
        <v>2.8992365956785272E-2</v>
      </c>
      <c r="Q154" s="201">
        <f t="shared" si="55"/>
        <v>1.3652281981620376</v>
      </c>
      <c r="R154" s="201">
        <f t="shared" si="55"/>
        <v>0.85468295190711407</v>
      </c>
      <c r="S154" s="201">
        <f t="shared" si="55"/>
        <v>0</v>
      </c>
      <c r="T154" s="201">
        <f t="shared" si="55"/>
        <v>98.000000000000014</v>
      </c>
      <c r="U154" s="4">
        <f xml:space="preserve"> U$151</f>
        <v>0</v>
      </c>
      <c r="V154" s="4">
        <f xml:space="preserve"> V$151</f>
        <v>0</v>
      </c>
      <c r="W154" s="4">
        <f xml:space="preserve"> W$151</f>
        <v>0</v>
      </c>
    </row>
    <row r="155" spans="1:23" ht="12.75" customHeight="1" outlineLevel="1">
      <c r="A155" s="63"/>
      <c r="C155" s="110"/>
      <c r="E155" s="82" t="s">
        <v>339</v>
      </c>
      <c r="F155" s="109"/>
      <c r="G155" s="109" t="s">
        <v>173</v>
      </c>
      <c r="H155" s="109"/>
      <c r="I155" s="109"/>
      <c r="J155" s="236">
        <f t="shared" ref="J155:T155" si="56" xml:space="preserve"> $F153 * MIN(1, J154)</f>
        <v>0</v>
      </c>
      <c r="K155" s="236">
        <f t="shared" si="56"/>
        <v>0</v>
      </c>
      <c r="L155" s="236">
        <f t="shared" si="56"/>
        <v>0</v>
      </c>
      <c r="M155" s="236">
        <f t="shared" si="56"/>
        <v>0</v>
      </c>
      <c r="N155" s="236">
        <f t="shared" si="56"/>
        <v>0</v>
      </c>
      <c r="O155" s="236">
        <f t="shared" si="56"/>
        <v>0</v>
      </c>
      <c r="P155" s="145">
        <f xml:space="preserve"> $F153 * MIN(1, P154)</f>
        <v>8.6977097870355815E-4</v>
      </c>
      <c r="Q155" s="236">
        <f t="shared" si="56"/>
        <v>0.03</v>
      </c>
      <c r="R155" s="236">
        <f xml:space="preserve"> $F153 * MIN(1, R154)</f>
        <v>2.5640488557213421E-2</v>
      </c>
      <c r="S155" s="236">
        <f t="shared" si="56"/>
        <v>0</v>
      </c>
      <c r="T155" s="236">
        <f t="shared" si="56"/>
        <v>0.03</v>
      </c>
      <c r="U155" s="236">
        <f xml:space="preserve"> $F153 * MIN(1, U154)</f>
        <v>0</v>
      </c>
      <c r="V155" s="236">
        <f xml:space="preserve"> $F153 * MIN(1, V154)</f>
        <v>0</v>
      </c>
      <c r="W155" s="236">
        <f xml:space="preserve"> $F153 * MIN(1, W154)</f>
        <v>0</v>
      </c>
    </row>
    <row r="156" spans="1:23" ht="12.75" customHeight="1" outlineLevel="1">
      <c r="A156" s="63"/>
      <c r="C156" s="110"/>
      <c r="E156" s="74"/>
      <c r="V156" s="57"/>
      <c r="W156" s="57"/>
    </row>
    <row r="157" spans="1:23" s="129" customFormat="1" ht="12.75" customHeight="1" outlineLevel="1">
      <c r="A157" s="166"/>
      <c r="B157" s="166"/>
      <c r="C157" s="167"/>
      <c r="D157" s="75"/>
      <c r="E157" s="205" t="str">
        <f xml:space="preserve"> E$127</f>
        <v xml:space="preserve">Revenue Imbalance - Wholesale Water </v>
      </c>
      <c r="F157" s="205">
        <f t="shared" ref="F157:W157" si="57" xml:space="preserve"> F$127</f>
        <v>0</v>
      </c>
      <c r="G157" s="205" t="str">
        <f t="shared" si="57"/>
        <v>£m</v>
      </c>
      <c r="H157" s="44">
        <f t="shared" si="57"/>
        <v>1273.6004631489418</v>
      </c>
      <c r="I157" s="44">
        <f t="shared" si="57"/>
        <v>0</v>
      </c>
      <c r="J157" s="44">
        <f t="shared" si="57"/>
        <v>0</v>
      </c>
      <c r="K157" s="44">
        <f t="shared" si="57"/>
        <v>0</v>
      </c>
      <c r="L157" s="44">
        <f t="shared" si="57"/>
        <v>0</v>
      </c>
      <c r="M157" s="44">
        <f t="shared" si="57"/>
        <v>0</v>
      </c>
      <c r="N157" s="44">
        <f t="shared" si="57"/>
        <v>0</v>
      </c>
      <c r="O157" s="44">
        <f t="shared" si="57"/>
        <v>0</v>
      </c>
      <c r="P157" s="44">
        <f t="shared" si="57"/>
        <v>18.752257009735416</v>
      </c>
      <c r="Q157" s="44">
        <f t="shared" si="57"/>
        <v>33.479389670086434</v>
      </c>
      <c r="R157" s="44">
        <f t="shared" si="57"/>
        <v>29.668829231592085</v>
      </c>
      <c r="S157" s="44">
        <f t="shared" si="57"/>
        <v>17.868832543971436</v>
      </c>
      <c r="T157" s="44">
        <f t="shared" si="57"/>
        <v>1173.8311546935565</v>
      </c>
      <c r="U157" s="44">
        <f t="shared" si="57"/>
        <v>0</v>
      </c>
      <c r="V157" s="44">
        <f t="shared" si="57"/>
        <v>0</v>
      </c>
      <c r="W157" s="44">
        <f t="shared" si="57"/>
        <v>0</v>
      </c>
    </row>
    <row r="158" spans="1:23" s="6" customFormat="1" ht="12.75" customHeight="1" outlineLevel="1">
      <c r="A158" s="64"/>
      <c r="B158" s="64"/>
      <c r="C158" s="62"/>
      <c r="D158" s="159"/>
      <c r="E158" s="39" t="str">
        <f t="shared" ref="E158:T158" si="58" xml:space="preserve"> E$155</f>
        <v>Penalty rate (PR) - Wholesale Water</v>
      </c>
      <c r="F158" s="39">
        <f t="shared" si="58"/>
        <v>0</v>
      </c>
      <c r="G158" s="39" t="str">
        <f t="shared" si="58"/>
        <v>%</v>
      </c>
      <c r="H158" s="39">
        <f t="shared" si="58"/>
        <v>0</v>
      </c>
      <c r="I158" s="39">
        <f t="shared" si="58"/>
        <v>0</v>
      </c>
      <c r="J158" s="39">
        <f t="shared" si="58"/>
        <v>0</v>
      </c>
      <c r="K158" s="39">
        <f t="shared" si="58"/>
        <v>0</v>
      </c>
      <c r="L158" s="39">
        <f t="shared" si="58"/>
        <v>0</v>
      </c>
      <c r="M158" s="39">
        <f t="shared" si="58"/>
        <v>0</v>
      </c>
      <c r="N158" s="39">
        <f t="shared" si="58"/>
        <v>0</v>
      </c>
      <c r="O158" s="39">
        <f t="shared" si="58"/>
        <v>0</v>
      </c>
      <c r="P158" s="39">
        <f xml:space="preserve"> P$155</f>
        <v>8.6977097870355815E-4</v>
      </c>
      <c r="Q158" s="39">
        <f t="shared" si="58"/>
        <v>0.03</v>
      </c>
      <c r="R158" s="39">
        <f t="shared" si="58"/>
        <v>2.5640488557213421E-2</v>
      </c>
      <c r="S158" s="39">
        <f t="shared" si="58"/>
        <v>0</v>
      </c>
      <c r="T158" s="39">
        <f t="shared" si="58"/>
        <v>0.03</v>
      </c>
      <c r="U158" s="39">
        <f xml:space="preserve"> U$155</f>
        <v>0</v>
      </c>
      <c r="V158" s="39">
        <f xml:space="preserve"> V$155</f>
        <v>0</v>
      </c>
      <c r="W158" s="39">
        <f xml:space="preserve"> W$155</f>
        <v>0</v>
      </c>
    </row>
    <row r="159" spans="1:23" s="6" customFormat="1" ht="12.75" customHeight="1" outlineLevel="1">
      <c r="A159" s="64"/>
      <c r="B159" s="64"/>
      <c r="C159" s="62"/>
      <c r="D159" s="159"/>
      <c r="E159" s="292" t="str">
        <f>Time!E56</f>
        <v>Forecast period flag</v>
      </c>
      <c r="F159" s="292">
        <f>Time!F56</f>
        <v>0</v>
      </c>
      <c r="G159" s="292" t="str">
        <f>Time!G56</f>
        <v>flag</v>
      </c>
      <c r="H159" s="292">
        <f>Time!H56</f>
        <v>5</v>
      </c>
      <c r="I159" s="292">
        <f>Time!I56</f>
        <v>0</v>
      </c>
      <c r="J159" s="292">
        <f>Time!J56</f>
        <v>0</v>
      </c>
      <c r="K159" s="292">
        <f>Time!K56</f>
        <v>0</v>
      </c>
      <c r="L159" s="292">
        <f>Time!L56</f>
        <v>0</v>
      </c>
      <c r="M159" s="292">
        <f>Time!M56</f>
        <v>0</v>
      </c>
      <c r="N159" s="292">
        <f>Time!N56</f>
        <v>0</v>
      </c>
      <c r="O159" s="292">
        <f>Time!O56</f>
        <v>0</v>
      </c>
      <c r="P159" s="292">
        <f>Time!P56</f>
        <v>1</v>
      </c>
      <c r="Q159" s="292">
        <f>Time!Q56</f>
        <v>1</v>
      </c>
      <c r="R159" s="292">
        <f>Time!R56</f>
        <v>1</v>
      </c>
      <c r="S159" s="292">
        <f>Time!S56</f>
        <v>1</v>
      </c>
      <c r="T159" s="292">
        <f>Time!T56</f>
        <v>1</v>
      </c>
      <c r="U159" s="292">
        <f>Time!U56</f>
        <v>0</v>
      </c>
      <c r="V159" s="292">
        <f>Time!V56</f>
        <v>0</v>
      </c>
      <c r="W159" s="292">
        <f>Time!W56</f>
        <v>0</v>
      </c>
    </row>
    <row r="160" spans="1:23" s="6" customFormat="1" ht="12.75" customHeight="1" outlineLevel="1">
      <c r="A160" s="64"/>
      <c r="B160" s="64"/>
      <c r="C160" s="62"/>
      <c r="D160" s="159"/>
      <c r="E160" s="129" t="s">
        <v>340</v>
      </c>
      <c r="F160" s="101"/>
      <c r="G160" s="101" t="s">
        <v>97</v>
      </c>
      <c r="H160" s="93">
        <f xml:space="preserve"> SUM(J160:W160)</f>
        <v>36.996349776260104</v>
      </c>
      <c r="I160" s="101"/>
      <c r="J160" s="93">
        <f t="shared" ref="J160:P160" si="59" xml:space="preserve">  IF(J159=1, J158 * ABS( J157), 0 )</f>
        <v>0</v>
      </c>
      <c r="K160" s="93">
        <f t="shared" si="59"/>
        <v>0</v>
      </c>
      <c r="L160" s="93">
        <f t="shared" si="59"/>
        <v>0</v>
      </c>
      <c r="M160" s="93">
        <f t="shared" si="59"/>
        <v>0</v>
      </c>
      <c r="N160" s="93">
        <f xml:space="preserve">  IF(N159=1, N158 * ABS( N157), 0 )</f>
        <v>0</v>
      </c>
      <c r="O160" s="93">
        <f t="shared" si="59"/>
        <v>0</v>
      </c>
      <c r="P160" s="93">
        <f t="shared" si="59"/>
        <v>1.6310168932258232E-2</v>
      </c>
      <c r="Q160" s="93">
        <f t="shared" ref="Q160:W160" si="60" xml:space="preserve">  IF(Q159=1, Q158 * ABS( Q157), 0 )</f>
        <v>1.004381690102593</v>
      </c>
      <c r="R160" s="93">
        <f t="shared" si="60"/>
        <v>0.76072327641855586</v>
      </c>
      <c r="S160" s="93">
        <f t="shared" si="60"/>
        <v>0</v>
      </c>
      <c r="T160" s="93">
        <f t="shared" si="60"/>
        <v>35.214934640806696</v>
      </c>
      <c r="U160" s="93">
        <f t="shared" si="60"/>
        <v>0</v>
      </c>
      <c r="V160" s="93">
        <f t="shared" si="60"/>
        <v>0</v>
      </c>
      <c r="W160" s="93">
        <f t="shared" si="60"/>
        <v>0</v>
      </c>
    </row>
    <row r="161" spans="1:23" s="6" customFormat="1" ht="12.75" customHeight="1" outlineLevel="1">
      <c r="A161" s="64"/>
      <c r="B161" s="64"/>
      <c r="C161" s="62"/>
      <c r="D161" s="159"/>
      <c r="E161" s="129"/>
      <c r="F161" s="101"/>
      <c r="G161" s="101"/>
      <c r="H161" s="93"/>
      <c r="I161" s="101"/>
      <c r="J161" s="93"/>
      <c r="K161" s="93"/>
      <c r="L161" s="93"/>
      <c r="M161" s="93"/>
      <c r="N161" s="93"/>
      <c r="O161" s="93"/>
      <c r="P161" s="93"/>
      <c r="Q161" s="93"/>
      <c r="R161" s="93"/>
      <c r="S161" s="93"/>
      <c r="T161" s="93"/>
      <c r="U161" s="93"/>
      <c r="V161" s="93"/>
      <c r="W161" s="93"/>
    </row>
    <row r="162" spans="1:23" s="6" customFormat="1" ht="12.75" customHeight="1" outlineLevel="1">
      <c r="A162" s="64"/>
      <c r="B162" s="64"/>
      <c r="C162" s="62"/>
      <c r="D162" s="159"/>
      <c r="E162" s="101" t="str">
        <f t="shared" ref="E162:W162" si="61" xml:space="preserve"> E$160</f>
        <v>Penalty adjustment - Wholesale Water POS</v>
      </c>
      <c r="F162" s="101">
        <f t="shared" si="61"/>
        <v>0</v>
      </c>
      <c r="G162" s="101" t="str">
        <f t="shared" si="61"/>
        <v>£m</v>
      </c>
      <c r="H162" s="93">
        <f t="shared" si="61"/>
        <v>36.996349776260104</v>
      </c>
      <c r="I162" s="101">
        <f t="shared" si="61"/>
        <v>0</v>
      </c>
      <c r="J162" s="93">
        <f t="shared" si="61"/>
        <v>0</v>
      </c>
      <c r="K162" s="93">
        <f t="shared" si="61"/>
        <v>0</v>
      </c>
      <c r="L162" s="93">
        <f t="shared" si="61"/>
        <v>0</v>
      </c>
      <c r="M162" s="93">
        <f t="shared" si="61"/>
        <v>0</v>
      </c>
      <c r="N162" s="93">
        <f t="shared" si="61"/>
        <v>0</v>
      </c>
      <c r="O162" s="93">
        <f t="shared" si="61"/>
        <v>0</v>
      </c>
      <c r="P162" s="93">
        <f t="shared" si="61"/>
        <v>1.6310168932258232E-2</v>
      </c>
      <c r="Q162" s="93">
        <f t="shared" si="61"/>
        <v>1.004381690102593</v>
      </c>
      <c r="R162" s="93">
        <f t="shared" si="61"/>
        <v>0.76072327641855586</v>
      </c>
      <c r="S162" s="93">
        <f t="shared" si="61"/>
        <v>0</v>
      </c>
      <c r="T162" s="93">
        <f t="shared" si="61"/>
        <v>35.214934640806696</v>
      </c>
      <c r="U162" s="93">
        <f t="shared" si="61"/>
        <v>0</v>
      </c>
      <c r="V162" s="93">
        <f t="shared" si="61"/>
        <v>0</v>
      </c>
      <c r="W162" s="93">
        <f t="shared" si="61"/>
        <v>0</v>
      </c>
    </row>
    <row r="163" spans="1:23" s="155" customFormat="1" ht="13.2" outlineLevel="1">
      <c r="A163" s="168"/>
      <c r="B163" s="168"/>
      <c r="C163" s="162"/>
      <c r="D163" s="163"/>
      <c r="E163" s="226" t="s">
        <v>341</v>
      </c>
      <c r="F163" s="226"/>
      <c r="G163" s="226" t="s">
        <v>97</v>
      </c>
      <c r="H163" s="227">
        <f xml:space="preserve"> SUM(J163:W163)</f>
        <v>-36.996349776260104</v>
      </c>
      <c r="I163" s="227"/>
      <c r="J163" s="227">
        <f xml:space="preserve"> - J162</f>
        <v>0</v>
      </c>
      <c r="K163" s="227">
        <f t="shared" ref="K163:W163" si="62" xml:space="preserve"> - K162</f>
        <v>0</v>
      </c>
      <c r="L163" s="227">
        <f t="shared" si="62"/>
        <v>0</v>
      </c>
      <c r="M163" s="227">
        <f t="shared" si="62"/>
        <v>0</v>
      </c>
      <c r="N163" s="227">
        <f t="shared" si="62"/>
        <v>0</v>
      </c>
      <c r="O163" s="227">
        <f t="shared" si="62"/>
        <v>0</v>
      </c>
      <c r="P163" s="227">
        <f t="shared" si="62"/>
        <v>-1.6310168932258232E-2</v>
      </c>
      <c r="Q163" s="227">
        <f t="shared" si="62"/>
        <v>-1.004381690102593</v>
      </c>
      <c r="R163" s="227">
        <f t="shared" si="62"/>
        <v>-0.76072327641855586</v>
      </c>
      <c r="S163" s="227">
        <f t="shared" si="62"/>
        <v>0</v>
      </c>
      <c r="T163" s="227">
        <f t="shared" si="62"/>
        <v>-35.214934640806696</v>
      </c>
      <c r="U163" s="227">
        <f t="shared" si="62"/>
        <v>0</v>
      </c>
      <c r="V163" s="227">
        <f t="shared" si="62"/>
        <v>0</v>
      </c>
      <c r="W163" s="227">
        <f t="shared" si="62"/>
        <v>0</v>
      </c>
    </row>
    <row r="164" spans="1:23" ht="12.75" customHeight="1" outlineLevel="1">
      <c r="A164" s="63"/>
      <c r="C164" s="110"/>
      <c r="E164" s="74"/>
    </row>
    <row r="165" spans="1:23" ht="12.75" customHeight="1" outlineLevel="1">
      <c r="E165" s="36" t="str">
        <f xml:space="preserve"> Inputs!E$63</f>
        <v>Discount rate</v>
      </c>
      <c r="F165" s="36">
        <f xml:space="preserve"> Inputs!F$63</f>
        <v>2.92E-2</v>
      </c>
      <c r="G165" s="36" t="str">
        <f xml:space="preserve"> Inputs!G$63</f>
        <v>%</v>
      </c>
      <c r="H165" s="36">
        <f xml:space="preserve"> Inputs!H$63</f>
        <v>0</v>
      </c>
      <c r="I165" s="36">
        <f xml:space="preserve"> Inputs!I$63</f>
        <v>0</v>
      </c>
      <c r="J165" s="36">
        <f xml:space="preserve"> Inputs!J$63</f>
        <v>0</v>
      </c>
      <c r="K165" s="36">
        <f xml:space="preserve"> Inputs!K$63</f>
        <v>0</v>
      </c>
      <c r="L165" s="36">
        <f xml:space="preserve"> Inputs!L$63</f>
        <v>0</v>
      </c>
      <c r="M165" s="36">
        <f xml:space="preserve"> Inputs!M$63</f>
        <v>0</v>
      </c>
      <c r="N165" s="36">
        <f xml:space="preserve"> Inputs!N$63</f>
        <v>0</v>
      </c>
      <c r="O165" s="36">
        <f xml:space="preserve"> Inputs!O$63</f>
        <v>0</v>
      </c>
      <c r="P165" s="36">
        <f xml:space="preserve"> Inputs!P$63</f>
        <v>0</v>
      </c>
      <c r="Q165" s="36">
        <f xml:space="preserve"> Inputs!Q$63</f>
        <v>0</v>
      </c>
      <c r="R165" s="36">
        <f xml:space="preserve"> Inputs!R$63</f>
        <v>0</v>
      </c>
      <c r="S165" s="36">
        <f xml:space="preserve"> Inputs!S$63</f>
        <v>0</v>
      </c>
      <c r="T165" s="36">
        <f xml:space="preserve"> Inputs!T$63</f>
        <v>0</v>
      </c>
      <c r="U165" s="36">
        <f xml:space="preserve"> Inputs!U$63</f>
        <v>0</v>
      </c>
      <c r="V165" s="36">
        <f xml:space="preserve"> Inputs!V$63</f>
        <v>0</v>
      </c>
      <c r="W165" s="36">
        <f xml:space="preserve"> Inputs!W$63</f>
        <v>0</v>
      </c>
    </row>
    <row r="166" spans="1:23" ht="12.75" customHeight="1" outlineLevel="1">
      <c r="A166" s="63"/>
      <c r="C166" s="110"/>
      <c r="E166" s="156" t="str">
        <f t="shared" ref="E166:T166" si="63" xml:space="preserve"> E$163</f>
        <v>Penalty adjustment - Wholesale Water</v>
      </c>
      <c r="F166" s="156">
        <f t="shared" si="63"/>
        <v>0</v>
      </c>
      <c r="G166" s="156" t="str">
        <f t="shared" si="63"/>
        <v>£m</v>
      </c>
      <c r="H166" s="156">
        <f t="shared" si="63"/>
        <v>-36.996349776260104</v>
      </c>
      <c r="I166" s="156">
        <f t="shared" si="63"/>
        <v>0</v>
      </c>
      <c r="J166" s="156">
        <f t="shared" si="63"/>
        <v>0</v>
      </c>
      <c r="K166" s="156">
        <f t="shared" si="63"/>
        <v>0</v>
      </c>
      <c r="L166" s="156">
        <f t="shared" si="63"/>
        <v>0</v>
      </c>
      <c r="M166" s="156">
        <f t="shared" si="63"/>
        <v>0</v>
      </c>
      <c r="N166" s="156">
        <f t="shared" si="63"/>
        <v>0</v>
      </c>
      <c r="O166" s="156">
        <f t="shared" si="63"/>
        <v>0</v>
      </c>
      <c r="P166" s="156">
        <f xml:space="preserve"> P$163</f>
        <v>-1.6310168932258232E-2</v>
      </c>
      <c r="Q166" s="156">
        <f t="shared" si="63"/>
        <v>-1.004381690102593</v>
      </c>
      <c r="R166" s="156">
        <f t="shared" si="63"/>
        <v>-0.76072327641855586</v>
      </c>
      <c r="S166" s="156">
        <f t="shared" si="63"/>
        <v>0</v>
      </c>
      <c r="T166" s="156">
        <f t="shared" si="63"/>
        <v>-35.214934640806696</v>
      </c>
      <c r="U166" s="156">
        <f xml:space="preserve"> U$163</f>
        <v>0</v>
      </c>
      <c r="V166" s="156">
        <f xml:space="preserve"> V$163</f>
        <v>0</v>
      </c>
      <c r="W166" s="156">
        <f xml:space="preserve"> W$163</f>
        <v>0</v>
      </c>
    </row>
    <row r="167" spans="1:23" ht="12.75" customHeight="1" outlineLevel="1">
      <c r="A167" s="63"/>
      <c r="C167" s="110"/>
      <c r="E167" s="74" t="s">
        <v>342</v>
      </c>
      <c r="G167" s="57" t="s">
        <v>97</v>
      </c>
      <c r="H167" s="94">
        <f xml:space="preserve"> SUM(J167:W167)</f>
        <v>-38.076643189726894</v>
      </c>
      <c r="I167" s="94"/>
      <c r="J167" s="94">
        <f t="shared" ref="J167:T167" si="64" xml:space="preserve"> J166 * (1 + $F165)</f>
        <v>0</v>
      </c>
      <c r="K167" s="94">
        <f t="shared" si="64"/>
        <v>0</v>
      </c>
      <c r="L167" s="94">
        <f t="shared" si="64"/>
        <v>0</v>
      </c>
      <c r="M167" s="94">
        <f t="shared" si="64"/>
        <v>0</v>
      </c>
      <c r="N167" s="94">
        <f t="shared" si="64"/>
        <v>0</v>
      </c>
      <c r="O167" s="94">
        <f t="shared" si="64"/>
        <v>0</v>
      </c>
      <c r="P167" s="169">
        <f xml:space="preserve"> P166 * (1 + $F165)</f>
        <v>-1.6786425865080171E-2</v>
      </c>
      <c r="Q167" s="94">
        <f t="shared" si="64"/>
        <v>-1.0337096354535886</v>
      </c>
      <c r="R167" s="94">
        <f t="shared" si="64"/>
        <v>-0.78293639608997756</v>
      </c>
      <c r="S167" s="94">
        <f t="shared" si="64"/>
        <v>0</v>
      </c>
      <c r="T167" s="94">
        <f t="shared" si="64"/>
        <v>-36.243210732318246</v>
      </c>
      <c r="U167" s="94">
        <f xml:space="preserve"> U166 * (1 + $F165)</f>
        <v>0</v>
      </c>
      <c r="V167" s="94">
        <f xml:space="preserve"> V166 * (1 + $F165)</f>
        <v>0</v>
      </c>
      <c r="W167" s="94">
        <f xml:space="preserve"> W166 * (1 + $F165)</f>
        <v>0</v>
      </c>
    </row>
    <row r="168" spans="1:23" ht="12.75" customHeight="1" outlineLevel="1">
      <c r="A168" s="63"/>
      <c r="C168" s="110"/>
      <c r="V168" s="57"/>
      <c r="W168" s="57"/>
    </row>
    <row r="169" spans="1:23" ht="12.75" customHeight="1" outlineLevel="1">
      <c r="A169" s="63"/>
      <c r="C169" s="110"/>
      <c r="E169" s="36" t="str">
        <f xml:space="preserve"> 'Indices and K factor'!E$11</f>
        <v>CPIH: Nov % increase (prior year) - CALC</v>
      </c>
      <c r="F169" s="36">
        <f xml:space="preserve"> 'Indices and K factor'!F$11</f>
        <v>0</v>
      </c>
      <c r="G169" s="36" t="str">
        <f xml:space="preserve"> 'Indices and K factor'!G$11</f>
        <v>%</v>
      </c>
      <c r="H169" s="36">
        <f xml:space="preserve"> 'Indices and K factor'!H$11</f>
        <v>0</v>
      </c>
      <c r="I169" s="36">
        <f xml:space="preserve"> 'Indices and K factor'!I$11</f>
        <v>0</v>
      </c>
      <c r="J169" s="36">
        <f xml:space="preserve"> 'Indices and K factor'!J$11</f>
        <v>0</v>
      </c>
      <c r="K169" s="36">
        <f xml:space="preserve"> 'Indices and K factor'!K$11</f>
        <v>0</v>
      </c>
      <c r="L169" s="36">
        <f xml:space="preserve"> 'Indices and K factor'!L$11</f>
        <v>1.0040040040040039</v>
      </c>
      <c r="M169" s="36">
        <f xml:space="preserve"> 'Indices and K factor'!M$11</f>
        <v>1.0149551345962113</v>
      </c>
      <c r="N169" s="36">
        <f xml:space="preserve"> 'Indices and K factor'!N$11</f>
        <v>1.0284872298624754</v>
      </c>
      <c r="O169" s="36">
        <f xml:space="preserve"> 'Indices and K factor'!O$11</f>
        <v>1.0210124164278893</v>
      </c>
      <c r="P169" s="36">
        <f xml:space="preserve"> 'Indices and K factor'!P$11</f>
        <v>1.0149672591206735</v>
      </c>
      <c r="Q169" s="36">
        <f xml:space="preserve"> 'Indices and K factor'!Q$11</f>
        <v>1.0055299539170506</v>
      </c>
      <c r="R169" s="36">
        <f xml:space="preserve"> 'Indices and K factor'!R$11</f>
        <v>1.0458295142071494</v>
      </c>
      <c r="S169" s="36">
        <f xml:space="preserve"> 'Indices and K factor'!S$11</f>
        <v>1.0937773882559159</v>
      </c>
      <c r="T169" s="36">
        <f xml:space="preserve"> 'Indices and K factor'!T$11</f>
        <v>1.042059294871795</v>
      </c>
      <c r="U169" s="36">
        <f xml:space="preserve"> 'Indices and K factor'!U$11</f>
        <v>1.0312779542070039</v>
      </c>
      <c r="V169" s="36">
        <f xml:space="preserve"> 'Indices and K factor'!V$11</f>
        <v>1.02</v>
      </c>
      <c r="W169" s="36">
        <f xml:space="preserve"> 'Indices and K factor'!W$11</f>
        <v>1.02</v>
      </c>
    </row>
    <row r="170" spans="1:23" ht="12.75" customHeight="1" outlineLevel="1">
      <c r="A170" s="63"/>
      <c r="C170" s="110"/>
      <c r="E170" s="35" t="str">
        <f t="shared" ref="E170:T170" si="65" xml:space="preserve"> E$167</f>
        <v>Penalty adjustment - with financing adjustment - Wholesale Water</v>
      </c>
      <c r="F170" s="35">
        <f t="shared" si="65"/>
        <v>0</v>
      </c>
      <c r="G170" s="35" t="str">
        <f t="shared" si="65"/>
        <v>£m</v>
      </c>
      <c r="H170" s="35">
        <f t="shared" si="65"/>
        <v>-38.076643189726894</v>
      </c>
      <c r="I170" s="35">
        <f t="shared" si="65"/>
        <v>0</v>
      </c>
      <c r="J170" s="35">
        <f t="shared" si="65"/>
        <v>0</v>
      </c>
      <c r="K170" s="35">
        <f t="shared" si="65"/>
        <v>0</v>
      </c>
      <c r="L170" s="35">
        <f t="shared" si="65"/>
        <v>0</v>
      </c>
      <c r="M170" s="35">
        <f t="shared" si="65"/>
        <v>0</v>
      </c>
      <c r="N170" s="35">
        <f t="shared" si="65"/>
        <v>0</v>
      </c>
      <c r="O170" s="35">
        <f t="shared" si="65"/>
        <v>0</v>
      </c>
      <c r="P170" s="35">
        <f t="shared" si="65"/>
        <v>-1.6786425865080171E-2</v>
      </c>
      <c r="Q170" s="35">
        <f t="shared" si="65"/>
        <v>-1.0337096354535886</v>
      </c>
      <c r="R170" s="35">
        <f t="shared" si="65"/>
        <v>-0.78293639608997756</v>
      </c>
      <c r="S170" s="35">
        <f t="shared" si="65"/>
        <v>0</v>
      </c>
      <c r="T170" s="35">
        <f t="shared" si="65"/>
        <v>-36.243210732318246</v>
      </c>
      <c r="U170" s="35">
        <f xml:space="preserve"> U$167</f>
        <v>0</v>
      </c>
      <c r="V170" s="35">
        <f xml:space="preserve"> V$167</f>
        <v>0</v>
      </c>
      <c r="W170" s="35">
        <f xml:space="preserve"> W$167</f>
        <v>0</v>
      </c>
    </row>
    <row r="171" spans="1:23" ht="12.75" customHeight="1" outlineLevel="1">
      <c r="E171" s="45" t="str">
        <f xml:space="preserve"> Time!E56</f>
        <v>Forecast period flag</v>
      </c>
      <c r="F171" s="45">
        <f xml:space="preserve"> Time!F56</f>
        <v>0</v>
      </c>
      <c r="G171" s="45" t="str">
        <f xml:space="preserve"> Time!G56</f>
        <v>flag</v>
      </c>
      <c r="H171" s="45">
        <f xml:space="preserve"> Time!H56</f>
        <v>5</v>
      </c>
      <c r="I171" s="45">
        <f xml:space="preserve"> Time!I56</f>
        <v>0</v>
      </c>
      <c r="J171" s="45">
        <f xml:space="preserve"> Time!J56</f>
        <v>0</v>
      </c>
      <c r="K171" s="45">
        <f xml:space="preserve"> Time!K56</f>
        <v>0</v>
      </c>
      <c r="L171" s="45">
        <f xml:space="preserve"> Time!L56</f>
        <v>0</v>
      </c>
      <c r="M171" s="45">
        <f xml:space="preserve"> Time!M56</f>
        <v>0</v>
      </c>
      <c r="N171" s="45">
        <f xml:space="preserve"> Time!N56</f>
        <v>0</v>
      </c>
      <c r="O171" s="45">
        <f xml:space="preserve"> Time!O56</f>
        <v>0</v>
      </c>
      <c r="P171" s="45">
        <f xml:space="preserve"> Time!P56</f>
        <v>1</v>
      </c>
      <c r="Q171" s="45">
        <f xml:space="preserve"> Time!Q56</f>
        <v>1</v>
      </c>
      <c r="R171" s="45">
        <f xml:space="preserve"> Time!R56</f>
        <v>1</v>
      </c>
      <c r="S171" s="45">
        <f xml:space="preserve"> Time!S56</f>
        <v>1</v>
      </c>
      <c r="T171" s="45">
        <f xml:space="preserve"> Time!T56</f>
        <v>1</v>
      </c>
      <c r="U171" s="45">
        <f xml:space="preserve"> Time!U56</f>
        <v>0</v>
      </c>
      <c r="V171" s="45">
        <f xml:space="preserve"> Time!V56</f>
        <v>0</v>
      </c>
      <c r="W171" s="45">
        <f xml:space="preserve"> Time!W56</f>
        <v>0</v>
      </c>
    </row>
    <row r="172" spans="1:23" ht="12.75" customHeight="1" outlineLevel="1">
      <c r="A172" s="63"/>
      <c r="C172" s="110"/>
      <c r="E172" s="82" t="s">
        <v>343</v>
      </c>
      <c r="F172" s="109"/>
      <c r="G172" s="109" t="s">
        <v>97</v>
      </c>
      <c r="H172" s="106">
        <f xml:space="preserve"> SUM( J172:W172 )</f>
        <v>-40.216854753944361</v>
      </c>
      <c r="I172" s="109"/>
      <c r="J172" s="233">
        <f xml:space="preserve"> IF( J171 = 1, J170 * K169 * L169, 0 )</f>
        <v>0</v>
      </c>
      <c r="K172" s="233">
        <f t="shared" ref="K172:U172" si="66" xml:space="preserve"> IF( K171 = 1, K170 * L169 * M169, 0 )</f>
        <v>0</v>
      </c>
      <c r="L172" s="233">
        <f t="shared" si="66"/>
        <v>0</v>
      </c>
      <c r="M172" s="233">
        <f t="shared" si="66"/>
        <v>0</v>
      </c>
      <c r="N172" s="233">
        <f t="shared" si="66"/>
        <v>0</v>
      </c>
      <c r="O172" s="233">
        <f t="shared" si="66"/>
        <v>0</v>
      </c>
      <c r="P172" s="233">
        <f t="shared" si="66"/>
        <v>-1.7652822038761725E-2</v>
      </c>
      <c r="Q172" s="233">
        <f t="shared" si="66"/>
        <v>-1.1824652841852232</v>
      </c>
      <c r="R172" s="233">
        <f t="shared" si="66"/>
        <v>-0.89237594544351895</v>
      </c>
      <c r="S172" s="233">
        <f t="shared" si="66"/>
        <v>0</v>
      </c>
      <c r="T172" s="233">
        <f t="shared" si="66"/>
        <v>-38.12436070227686</v>
      </c>
      <c r="U172" s="233">
        <f t="shared" si="66"/>
        <v>0</v>
      </c>
      <c r="V172" s="294"/>
      <c r="W172" s="294"/>
    </row>
    <row r="173" spans="1:23" ht="12.75" customHeight="1" outlineLevel="1">
      <c r="A173"/>
      <c r="B173"/>
      <c r="C173"/>
      <c r="D173"/>
      <c r="E173"/>
      <c r="F173"/>
      <c r="G173"/>
      <c r="H173"/>
      <c r="I173"/>
      <c r="J173"/>
      <c r="K173"/>
      <c r="L173"/>
      <c r="M173"/>
      <c r="N173"/>
      <c r="O173"/>
      <c r="P173"/>
      <c r="Q173"/>
      <c r="R173"/>
      <c r="S173"/>
      <c r="T173"/>
      <c r="U173"/>
    </row>
    <row r="174" spans="1:23" ht="12.75" customHeight="1" outlineLevel="1">
      <c r="A174" s="63"/>
      <c r="B174" s="63" t="s">
        <v>344</v>
      </c>
      <c r="C174" s="110"/>
      <c r="E174" s="74"/>
      <c r="V174" s="57"/>
      <c r="W174" s="57"/>
    </row>
    <row r="175" spans="1:23" ht="12.75" customHeight="1" outlineLevel="1">
      <c r="A175" s="63"/>
      <c r="C175" s="110"/>
      <c r="E175" s="74"/>
      <c r="V175" s="57"/>
      <c r="W175" s="57"/>
    </row>
    <row r="176" spans="1:23" ht="12.75" customHeight="1" outlineLevel="1">
      <c r="A176" s="63"/>
      <c r="C176" s="110"/>
      <c r="E176" s="36" t="str">
        <f xml:space="preserve"> Inputs!E$65</f>
        <v>Threshold for additional variance analyses</v>
      </c>
      <c r="F176" s="36">
        <f xml:space="preserve"> Inputs!F$65</f>
        <v>0.06</v>
      </c>
      <c r="G176" s="36" t="str">
        <f xml:space="preserve"> Inputs!G$65</f>
        <v>%</v>
      </c>
      <c r="H176" s="36">
        <f xml:space="preserve"> Inputs!H$65</f>
        <v>0</v>
      </c>
      <c r="I176" s="36">
        <f xml:space="preserve"> Inputs!I$65</f>
        <v>0</v>
      </c>
      <c r="J176" s="36">
        <f xml:space="preserve"> Inputs!J$65</f>
        <v>0</v>
      </c>
      <c r="K176" s="36">
        <f xml:space="preserve"> Inputs!K$65</f>
        <v>0</v>
      </c>
      <c r="L176" s="36">
        <f xml:space="preserve"> Inputs!L$65</f>
        <v>0</v>
      </c>
      <c r="M176" s="36">
        <f xml:space="preserve"> Inputs!M$65</f>
        <v>0</v>
      </c>
      <c r="N176" s="36">
        <f xml:space="preserve"> Inputs!N$65</f>
        <v>0</v>
      </c>
      <c r="O176" s="36">
        <f xml:space="preserve"> Inputs!O$65</f>
        <v>0</v>
      </c>
      <c r="P176" s="36">
        <f xml:space="preserve"> Inputs!P$65</f>
        <v>0</v>
      </c>
      <c r="Q176" s="36">
        <f xml:space="preserve"> Inputs!Q$65</f>
        <v>0</v>
      </c>
      <c r="R176" s="36">
        <f xml:space="preserve"> Inputs!R$65</f>
        <v>0</v>
      </c>
      <c r="S176" s="36">
        <f xml:space="preserve"> Inputs!S$65</f>
        <v>0</v>
      </c>
      <c r="T176" s="36">
        <f xml:space="preserve"> Inputs!T$65</f>
        <v>0</v>
      </c>
      <c r="U176" s="36">
        <f xml:space="preserve"> Inputs!U$65</f>
        <v>0</v>
      </c>
      <c r="V176" s="36">
        <f xml:space="preserve"> Inputs!V$65</f>
        <v>0</v>
      </c>
      <c r="W176" s="36">
        <f xml:space="preserve"> Inputs!W$65</f>
        <v>0</v>
      </c>
    </row>
    <row r="177" spans="1:23" ht="12.75" customHeight="1" outlineLevel="1">
      <c r="A177" s="63"/>
      <c r="C177" s="110"/>
      <c r="E177" s="38" t="str">
        <f>E$141</f>
        <v>Forecast error - Wholesale Water</v>
      </c>
      <c r="F177" s="38">
        <f t="shared" ref="F177:W177" si="67">F$141</f>
        <v>0</v>
      </c>
      <c r="G177" s="38" t="str">
        <f t="shared" si="67"/>
        <v>%</v>
      </c>
      <c r="H177" s="38">
        <f t="shared" si="67"/>
        <v>0</v>
      </c>
      <c r="I177" s="38">
        <f t="shared" si="67"/>
        <v>0</v>
      </c>
      <c r="J177" s="38">
        <f t="shared" si="67"/>
        <v>0</v>
      </c>
      <c r="K177" s="38">
        <f t="shared" si="67"/>
        <v>0</v>
      </c>
      <c r="L177" s="38">
        <f t="shared" si="67"/>
        <v>0</v>
      </c>
      <c r="M177" s="38">
        <f t="shared" si="67"/>
        <v>0</v>
      </c>
      <c r="N177" s="38">
        <f t="shared" si="67"/>
        <v>0</v>
      </c>
      <c r="O177" s="38">
        <f t="shared" si="67"/>
        <v>0</v>
      </c>
      <c r="P177" s="38">
        <f t="shared" si="67"/>
        <v>2.0289923659567853E-2</v>
      </c>
      <c r="Q177" s="38">
        <f t="shared" si="67"/>
        <v>3.3652281981620374E-2</v>
      </c>
      <c r="R177" s="38">
        <f t="shared" si="67"/>
        <v>2.8546829519071139E-2</v>
      </c>
      <c r="S177" s="38">
        <f t="shared" si="67"/>
        <v>1.5037710070140209E-2</v>
      </c>
      <c r="T177" s="38">
        <f t="shared" si="67"/>
        <v>1</v>
      </c>
      <c r="U177" s="38">
        <f>U$141</f>
        <v>0</v>
      </c>
      <c r="V177" s="38">
        <f t="shared" si="67"/>
        <v>0</v>
      </c>
      <c r="W177" s="38">
        <f t="shared" si="67"/>
        <v>0</v>
      </c>
    </row>
    <row r="178" spans="1:23" ht="12.75" customHeight="1" outlineLevel="1">
      <c r="A178" s="63"/>
      <c r="C178" s="110"/>
      <c r="E178" s="74" t="s">
        <v>345</v>
      </c>
      <c r="F178" s="158">
        <f xml:space="preserve"> IF(SUM(J178:W178) &gt; 0, 1, 0)</f>
        <v>1</v>
      </c>
      <c r="G178" s="57" t="s">
        <v>346</v>
      </c>
      <c r="J178" s="158">
        <f t="shared" ref="J178:W178" si="68" xml:space="preserve"> IF(ABS(J177) &gt; $F176, 1, 0)</f>
        <v>0</v>
      </c>
      <c r="K178" s="158">
        <f t="shared" si="68"/>
        <v>0</v>
      </c>
      <c r="L178" s="158">
        <f t="shared" si="68"/>
        <v>0</v>
      </c>
      <c r="M178" s="158">
        <f t="shared" si="68"/>
        <v>0</v>
      </c>
      <c r="N178" s="158">
        <f t="shared" si="68"/>
        <v>0</v>
      </c>
      <c r="O178" s="158">
        <f t="shared" si="68"/>
        <v>0</v>
      </c>
      <c r="P178" s="158">
        <f t="shared" si="68"/>
        <v>0</v>
      </c>
      <c r="Q178" s="158">
        <f t="shared" si="68"/>
        <v>0</v>
      </c>
      <c r="R178" s="158">
        <f t="shared" si="68"/>
        <v>0</v>
      </c>
      <c r="S178" s="158">
        <f t="shared" si="68"/>
        <v>0</v>
      </c>
      <c r="T178" s="158">
        <f t="shared" si="68"/>
        <v>1</v>
      </c>
      <c r="U178" s="158">
        <f t="shared" si="68"/>
        <v>0</v>
      </c>
      <c r="V178" s="158">
        <f t="shared" si="68"/>
        <v>0</v>
      </c>
      <c r="W178" s="158">
        <f t="shared" si="68"/>
        <v>0</v>
      </c>
    </row>
    <row r="179" spans="1:23" ht="12.75" customHeight="1" outlineLevel="1">
      <c r="A179" s="63"/>
      <c r="C179" s="110"/>
      <c r="E179" s="82"/>
      <c r="F179" s="109"/>
      <c r="G179" s="109"/>
      <c r="H179" s="106"/>
      <c r="I179" s="109"/>
      <c r="J179" s="233"/>
      <c r="K179" s="224"/>
      <c r="L179" s="224"/>
      <c r="M179" s="224"/>
      <c r="N179" s="224"/>
      <c r="O179" s="224"/>
      <c r="P179" s="224"/>
      <c r="Q179" s="224"/>
      <c r="R179" s="224"/>
      <c r="S179" s="224"/>
      <c r="T179" s="224"/>
      <c r="U179" s="224"/>
      <c r="V179" s="224"/>
      <c r="W179" s="224"/>
    </row>
    <row r="180" spans="1:23" ht="12.75" customHeight="1">
      <c r="A180" s="115" t="s">
        <v>347</v>
      </c>
      <c r="B180" s="115"/>
      <c r="C180" s="114"/>
      <c r="D180" s="115"/>
      <c r="E180" s="115"/>
      <c r="F180" s="115"/>
      <c r="G180" s="115"/>
      <c r="H180" s="115"/>
      <c r="I180" s="115"/>
      <c r="J180" s="115"/>
      <c r="K180" s="115"/>
      <c r="L180" s="115"/>
      <c r="M180" s="115"/>
      <c r="N180" s="115"/>
      <c r="O180" s="115"/>
      <c r="P180" s="115"/>
      <c r="Q180" s="115"/>
      <c r="R180" s="115"/>
      <c r="S180" s="115"/>
      <c r="T180" s="115"/>
      <c r="U180" s="115"/>
      <c r="V180" s="115"/>
      <c r="W180" s="115"/>
    </row>
    <row r="181" spans="1:23" ht="12.75" customHeight="1" outlineLevel="1">
      <c r="A181" s="63"/>
      <c r="C181" s="110"/>
      <c r="E181" s="82"/>
      <c r="F181" s="109"/>
      <c r="G181" s="109"/>
      <c r="H181" s="106"/>
      <c r="I181" s="109"/>
      <c r="J181" s="233"/>
      <c r="K181" s="224"/>
      <c r="L181" s="224"/>
      <c r="M181" s="224"/>
      <c r="N181" s="224"/>
      <c r="O181" s="224"/>
      <c r="P181" s="224"/>
      <c r="Q181" s="224"/>
      <c r="R181" s="224"/>
      <c r="S181" s="224"/>
      <c r="T181" s="224"/>
      <c r="U181" s="224"/>
      <c r="V181" s="224"/>
      <c r="W181" s="224"/>
    </row>
    <row r="182" spans="1:23" ht="12.75" customHeight="1" outlineLevel="1">
      <c r="A182" s="63"/>
      <c r="B182" s="63" t="s">
        <v>348</v>
      </c>
      <c r="C182" s="110"/>
      <c r="E182" s="82"/>
      <c r="F182" s="109"/>
      <c r="G182" s="109"/>
      <c r="H182" s="106"/>
      <c r="I182" s="109"/>
      <c r="J182" s="233"/>
      <c r="K182" s="224"/>
      <c r="L182" s="224"/>
      <c r="M182" s="224"/>
      <c r="N182" s="224"/>
      <c r="O182" s="224"/>
      <c r="P182" s="224"/>
      <c r="Q182" s="224"/>
      <c r="R182" s="224"/>
      <c r="S182" s="224"/>
      <c r="T182" s="224"/>
      <c r="U182" s="224"/>
      <c r="V182" s="224"/>
      <c r="W182" s="224"/>
    </row>
    <row r="183" spans="1:23" ht="12.75" customHeight="1" outlineLevel="1">
      <c r="A183" s="63"/>
      <c r="C183" s="110"/>
      <c r="E183" s="82"/>
      <c r="F183" s="109"/>
      <c r="G183" s="109"/>
      <c r="H183" s="106"/>
      <c r="I183" s="109"/>
      <c r="J183" s="233"/>
      <c r="K183" s="224"/>
      <c r="L183" s="224"/>
      <c r="M183" s="224"/>
      <c r="N183" s="224"/>
      <c r="O183" s="224"/>
      <c r="P183" s="224"/>
      <c r="Q183" s="224"/>
      <c r="R183" s="224"/>
      <c r="S183" s="224"/>
      <c r="T183" s="224"/>
      <c r="U183" s="224"/>
      <c r="V183" s="224"/>
      <c r="W183" s="224"/>
    </row>
    <row r="184" spans="1:23" ht="12.75" customHeight="1" outlineLevel="1">
      <c r="E184" s="45" t="str">
        <f xml:space="preserve"> Time!E56</f>
        <v>Forecast period flag</v>
      </c>
      <c r="F184" s="45">
        <f xml:space="preserve"> Time!F56</f>
        <v>0</v>
      </c>
      <c r="G184" s="45" t="str">
        <f xml:space="preserve"> Time!G56</f>
        <v>flag</v>
      </c>
      <c r="H184" s="45">
        <f xml:space="preserve"> Time!H56</f>
        <v>5</v>
      </c>
      <c r="I184" s="45">
        <f xml:space="preserve"> Time!I56</f>
        <v>0</v>
      </c>
      <c r="J184" s="45">
        <f xml:space="preserve"> Time!J56</f>
        <v>0</v>
      </c>
      <c r="K184" s="45">
        <f xml:space="preserve"> Time!K56</f>
        <v>0</v>
      </c>
      <c r="L184" s="45">
        <f xml:space="preserve"> Time!L56</f>
        <v>0</v>
      </c>
      <c r="M184" s="45">
        <f xml:space="preserve"> Time!M56</f>
        <v>0</v>
      </c>
      <c r="N184" s="45">
        <f xml:space="preserve"> Time!N56</f>
        <v>0</v>
      </c>
      <c r="O184" s="45">
        <f xml:space="preserve"> Time!O56</f>
        <v>0</v>
      </c>
      <c r="P184" s="45">
        <f xml:space="preserve"> Time!P56</f>
        <v>1</v>
      </c>
      <c r="Q184" s="45">
        <f xml:space="preserve"> Time!Q56</f>
        <v>1</v>
      </c>
      <c r="R184" s="45">
        <f xml:space="preserve"> Time!R56</f>
        <v>1</v>
      </c>
      <c r="S184" s="45">
        <f xml:space="preserve"> Time!S56</f>
        <v>1</v>
      </c>
      <c r="T184" s="45">
        <f xml:space="preserve"> Time!T56</f>
        <v>1</v>
      </c>
      <c r="U184" s="45">
        <f xml:space="preserve"> Time!U56</f>
        <v>0</v>
      </c>
      <c r="V184" s="45">
        <f xml:space="preserve"> Time!V56</f>
        <v>0</v>
      </c>
      <c r="W184" s="45">
        <f xml:space="preserve"> Time!W56</f>
        <v>0</v>
      </c>
    </row>
    <row r="185" spans="1:23" s="275" customFormat="1" ht="12.75" customHeight="1" outlineLevel="1">
      <c r="A185" s="271"/>
      <c r="B185" s="271"/>
      <c r="C185" s="272"/>
      <c r="D185" s="273"/>
      <c r="E185" s="274" t="str">
        <f xml:space="preserve"> Inputs!E$101</f>
        <v>Proportion of penalty allocated to Water-N+ (PS)</v>
      </c>
      <c r="F185" s="289">
        <f xml:space="preserve"> Inputs!F$101</f>
        <v>0</v>
      </c>
      <c r="G185" s="289" t="str">
        <f xml:space="preserve"> Inputs!G$101</f>
        <v>%</v>
      </c>
      <c r="H185" s="289">
        <f xml:space="preserve"> Inputs!H$101</f>
        <v>0</v>
      </c>
      <c r="I185" s="289">
        <f xml:space="preserve"> Inputs!I$101</f>
        <v>0</v>
      </c>
      <c r="J185" s="289">
        <f xml:space="preserve"> Inputs!J$101</f>
        <v>0</v>
      </c>
      <c r="K185" s="289">
        <f xml:space="preserve"> Inputs!K$101</f>
        <v>0</v>
      </c>
      <c r="L185" s="289">
        <f xml:space="preserve"> Inputs!L$101</f>
        <v>0</v>
      </c>
      <c r="M185" s="289">
        <f xml:space="preserve"> Inputs!M$101</f>
        <v>0</v>
      </c>
      <c r="N185" s="289">
        <f xml:space="preserve"> Inputs!N$101</f>
        <v>0</v>
      </c>
      <c r="O185" s="289">
        <f xml:space="preserve"> Inputs!O$101</f>
        <v>0</v>
      </c>
      <c r="P185" s="289">
        <f xml:space="preserve"> Inputs!P$101</f>
        <v>1</v>
      </c>
      <c r="Q185" s="289">
        <f xml:space="preserve"> Inputs!Q$101</f>
        <v>1</v>
      </c>
      <c r="R185" s="289">
        <f xml:space="preserve"> Inputs!R$101</f>
        <v>1</v>
      </c>
      <c r="S185" s="289">
        <f xml:space="preserve"> Inputs!S$101</f>
        <v>1</v>
      </c>
      <c r="T185" s="289">
        <f xml:space="preserve"> Inputs!T$101</f>
        <v>0</v>
      </c>
      <c r="U185" s="289">
        <f xml:space="preserve"> Inputs!U$101</f>
        <v>0</v>
      </c>
      <c r="V185" s="289">
        <f xml:space="preserve"> Inputs!V$101</f>
        <v>0</v>
      </c>
      <c r="W185" s="289">
        <f xml:space="preserve"> Inputs!W$101</f>
        <v>0</v>
      </c>
    </row>
    <row r="186" spans="1:23" s="291" customFormat="1" ht="12.75" customHeight="1" outlineLevel="1">
      <c r="A186" s="166"/>
      <c r="B186" s="166"/>
      <c r="C186" s="167"/>
      <c r="D186" s="75"/>
      <c r="E186" s="153" t="s">
        <v>349</v>
      </c>
      <c r="F186" s="290"/>
      <c r="G186" s="153" t="s">
        <v>173</v>
      </c>
      <c r="H186" s="153"/>
      <c r="I186" s="153"/>
      <c r="J186" s="290">
        <f xml:space="preserve"> IF( J184 = 1, 1 - J185, 0 )</f>
        <v>0</v>
      </c>
      <c r="K186" s="290">
        <f t="shared" ref="K186:W186" si="69" xml:space="preserve"> IF( K184 = 1, 1 - K185, 0 )</f>
        <v>0</v>
      </c>
      <c r="L186" s="290">
        <f t="shared" si="69"/>
        <v>0</v>
      </c>
      <c r="M186" s="290">
        <f t="shared" si="69"/>
        <v>0</v>
      </c>
      <c r="N186" s="290">
        <f t="shared" si="69"/>
        <v>0</v>
      </c>
      <c r="O186" s="290">
        <f t="shared" si="69"/>
        <v>0</v>
      </c>
      <c r="P186" s="290">
        <f t="shared" si="69"/>
        <v>0</v>
      </c>
      <c r="Q186" s="290">
        <f t="shared" si="69"/>
        <v>0</v>
      </c>
      <c r="R186" s="290">
        <f t="shared" si="69"/>
        <v>0</v>
      </c>
      <c r="S186" s="290">
        <f t="shared" si="69"/>
        <v>0</v>
      </c>
      <c r="T186" s="290">
        <f t="shared" si="69"/>
        <v>1</v>
      </c>
      <c r="U186" s="290">
        <f t="shared" si="69"/>
        <v>0</v>
      </c>
      <c r="V186" s="290">
        <f t="shared" si="69"/>
        <v>0</v>
      </c>
      <c r="W186" s="290">
        <f t="shared" si="69"/>
        <v>0</v>
      </c>
    </row>
    <row r="187" spans="1:23" s="291" customFormat="1" ht="12.75" customHeight="1" outlineLevel="1">
      <c r="A187" s="166"/>
      <c r="B187" s="166"/>
      <c r="C187" s="167"/>
      <c r="D187" s="75"/>
      <c r="E187" s="153"/>
      <c r="F187" s="290"/>
      <c r="G187" s="153"/>
      <c r="H187" s="153"/>
      <c r="I187" s="153"/>
      <c r="J187" s="290"/>
      <c r="K187" s="290"/>
      <c r="L187" s="290"/>
      <c r="M187" s="290"/>
      <c r="N187" s="290"/>
      <c r="O187" s="290"/>
      <c r="P187" s="290"/>
      <c r="Q187" s="290"/>
      <c r="R187" s="290"/>
      <c r="S187" s="290"/>
      <c r="T187" s="290"/>
      <c r="U187" s="290"/>
      <c r="V187" s="290"/>
      <c r="W187" s="290"/>
    </row>
    <row r="188" spans="1:23" s="6" customFormat="1" ht="12.75" customHeight="1" outlineLevel="1">
      <c r="A188" s="64"/>
      <c r="B188" s="64"/>
      <c r="C188" s="62"/>
      <c r="D188" s="159"/>
      <c r="E188" s="153" t="str">
        <f t="shared" ref="E188:W188" si="70" xml:space="preserve"> E$172</f>
        <v>Penalty adjustment - with financing adjustment &amp; 2 year lag of inflation - Wholesale Water</v>
      </c>
      <c r="F188" s="153">
        <f t="shared" si="70"/>
        <v>0</v>
      </c>
      <c r="G188" s="153" t="str">
        <f t="shared" si="70"/>
        <v>£m</v>
      </c>
      <c r="H188" s="210">
        <f t="shared" si="70"/>
        <v>-40.216854753944361</v>
      </c>
      <c r="I188" s="210">
        <f t="shared" si="70"/>
        <v>0</v>
      </c>
      <c r="J188" s="210">
        <f t="shared" si="70"/>
        <v>0</v>
      </c>
      <c r="K188" s="210">
        <f t="shared" si="70"/>
        <v>0</v>
      </c>
      <c r="L188" s="210">
        <f t="shared" si="70"/>
        <v>0</v>
      </c>
      <c r="M188" s="210">
        <f t="shared" si="70"/>
        <v>0</v>
      </c>
      <c r="N188" s="210">
        <f t="shared" si="70"/>
        <v>0</v>
      </c>
      <c r="O188" s="210">
        <f t="shared" si="70"/>
        <v>0</v>
      </c>
      <c r="P188" s="210">
        <f t="shared" si="70"/>
        <v>-1.7652822038761725E-2</v>
      </c>
      <c r="Q188" s="210">
        <f t="shared" si="70"/>
        <v>-1.1824652841852232</v>
      </c>
      <c r="R188" s="210">
        <f t="shared" si="70"/>
        <v>-0.89237594544351895</v>
      </c>
      <c r="S188" s="210">
        <f t="shared" si="70"/>
        <v>0</v>
      </c>
      <c r="T188" s="210">
        <f t="shared" si="70"/>
        <v>-38.12436070227686</v>
      </c>
      <c r="U188" s="210">
        <f t="shared" si="70"/>
        <v>0</v>
      </c>
      <c r="V188" s="210">
        <f t="shared" si="70"/>
        <v>0</v>
      </c>
      <c r="W188" s="210">
        <f t="shared" si="70"/>
        <v>0</v>
      </c>
    </row>
    <row r="189" spans="1:23" s="6" customFormat="1" ht="12.75" customHeight="1" outlineLevel="1">
      <c r="A189" s="64"/>
      <c r="B189" s="64"/>
      <c r="C189" s="62"/>
      <c r="D189" s="159"/>
      <c r="E189" s="274" t="str">
        <f xml:space="preserve"> Inputs!E$101</f>
        <v>Proportion of penalty allocated to Water-N+ (PS)</v>
      </c>
      <c r="F189" s="289">
        <f xml:space="preserve"> Inputs!F$101</f>
        <v>0</v>
      </c>
      <c r="G189" s="289" t="str">
        <f xml:space="preserve"> Inputs!G$101</f>
        <v>%</v>
      </c>
      <c r="H189" s="289">
        <f xml:space="preserve"> Inputs!H$101</f>
        <v>0</v>
      </c>
      <c r="I189" s="289">
        <f xml:space="preserve"> Inputs!I$101</f>
        <v>0</v>
      </c>
      <c r="J189" s="289">
        <f xml:space="preserve"> Inputs!J$101</f>
        <v>0</v>
      </c>
      <c r="K189" s="289">
        <f xml:space="preserve"> Inputs!K$101</f>
        <v>0</v>
      </c>
      <c r="L189" s="289">
        <f xml:space="preserve"> Inputs!L$101</f>
        <v>0</v>
      </c>
      <c r="M189" s="289">
        <f xml:space="preserve"> Inputs!M$101</f>
        <v>0</v>
      </c>
      <c r="N189" s="289">
        <f xml:space="preserve"> Inputs!N$101</f>
        <v>0</v>
      </c>
      <c r="O189" s="289">
        <f xml:space="preserve"> Inputs!O$101</f>
        <v>0</v>
      </c>
      <c r="P189" s="289">
        <f xml:space="preserve"> Inputs!P$101</f>
        <v>1</v>
      </c>
      <c r="Q189" s="289">
        <f xml:space="preserve"> Inputs!Q$101</f>
        <v>1</v>
      </c>
      <c r="R189" s="289">
        <f xml:space="preserve"> Inputs!R$101</f>
        <v>1</v>
      </c>
      <c r="S189" s="289">
        <f xml:space="preserve"> Inputs!S$101</f>
        <v>1</v>
      </c>
      <c r="T189" s="289">
        <f xml:space="preserve"> Inputs!T$101</f>
        <v>0</v>
      </c>
      <c r="U189" s="289">
        <f xml:space="preserve"> Inputs!U$101</f>
        <v>0</v>
      </c>
      <c r="V189" s="289">
        <f xml:space="preserve"> Inputs!V$101</f>
        <v>0</v>
      </c>
      <c r="W189" s="289">
        <f xml:space="preserve"> Inputs!W$101</f>
        <v>0</v>
      </c>
    </row>
    <row r="190" spans="1:23" s="6" customFormat="1" ht="12.75" customHeight="1" outlineLevel="1">
      <c r="A190" s="64"/>
      <c r="B190" s="64"/>
      <c r="C190" s="62"/>
      <c r="D190" s="159"/>
      <c r="E190" s="153" t="s">
        <v>350</v>
      </c>
      <c r="F190" s="58"/>
      <c r="G190" s="58" t="s">
        <v>97</v>
      </c>
      <c r="H190" s="95">
        <f xml:space="preserve"> SUM( J190:W190 )</f>
        <v>-2.0924940516675039</v>
      </c>
      <c r="I190" s="58"/>
      <c r="J190" s="233">
        <f xml:space="preserve"> J$189 * J$188</f>
        <v>0</v>
      </c>
      <c r="K190" s="233">
        <f xml:space="preserve"> K189 * K188</f>
        <v>0</v>
      </c>
      <c r="L190" s="233">
        <f t="shared" ref="L190:W190" si="71" xml:space="preserve"> L189 * L188</f>
        <v>0</v>
      </c>
      <c r="M190" s="233">
        <f t="shared" si="71"/>
        <v>0</v>
      </c>
      <c r="N190" s="233">
        <f t="shared" si="71"/>
        <v>0</v>
      </c>
      <c r="O190" s="233">
        <f t="shared" si="71"/>
        <v>0</v>
      </c>
      <c r="P190" s="233">
        <f t="shared" si="71"/>
        <v>-1.7652822038761725E-2</v>
      </c>
      <c r="Q190" s="233">
        <f t="shared" si="71"/>
        <v>-1.1824652841852232</v>
      </c>
      <c r="R190" s="233">
        <f t="shared" si="71"/>
        <v>-0.89237594544351895</v>
      </c>
      <c r="S190" s="233">
        <f t="shared" si="71"/>
        <v>0</v>
      </c>
      <c r="T190" s="233">
        <f t="shared" si="71"/>
        <v>0</v>
      </c>
      <c r="U190" s="233">
        <f t="shared" si="71"/>
        <v>0</v>
      </c>
      <c r="V190" s="233">
        <f t="shared" si="71"/>
        <v>0</v>
      </c>
      <c r="W190" s="233">
        <f t="shared" si="71"/>
        <v>0</v>
      </c>
    </row>
    <row r="191" spans="1:23" s="6" customFormat="1" ht="12.75" customHeight="1" outlineLevel="1">
      <c r="A191" s="64"/>
      <c r="B191" s="64"/>
      <c r="C191" s="62"/>
      <c r="D191" s="159"/>
      <c r="E191" s="153"/>
      <c r="F191" s="58"/>
      <c r="G191" s="58"/>
      <c r="H191" s="95"/>
      <c r="I191" s="58"/>
      <c r="J191" s="233"/>
      <c r="K191" s="233"/>
      <c r="L191" s="233"/>
      <c r="M191" s="233"/>
      <c r="N191" s="233"/>
      <c r="O191" s="233"/>
      <c r="P191" s="233"/>
      <c r="Q191" s="233"/>
      <c r="R191" s="233"/>
      <c r="S191" s="233"/>
      <c r="T191" s="233"/>
      <c r="U191" s="233"/>
      <c r="V191" s="233"/>
      <c r="W191" s="233"/>
    </row>
    <row r="192" spans="1:23" s="6" customFormat="1" ht="12.75" customHeight="1" outlineLevel="1">
      <c r="A192" s="64"/>
      <c r="B192" s="64"/>
      <c r="C192" s="62"/>
      <c r="D192" s="159"/>
      <c r="E192" s="153" t="str">
        <f t="shared" ref="E192:W192" si="72" xml:space="preserve"> E$172</f>
        <v>Penalty adjustment - with financing adjustment &amp; 2 year lag of inflation - Wholesale Water</v>
      </c>
      <c r="F192" s="153">
        <f t="shared" si="72"/>
        <v>0</v>
      </c>
      <c r="G192" s="153" t="str">
        <f t="shared" si="72"/>
        <v>£m</v>
      </c>
      <c r="H192" s="210">
        <f t="shared" si="72"/>
        <v>-40.216854753944361</v>
      </c>
      <c r="I192" s="210">
        <f t="shared" si="72"/>
        <v>0</v>
      </c>
      <c r="J192" s="210">
        <f t="shared" si="72"/>
        <v>0</v>
      </c>
      <c r="K192" s="210">
        <f t="shared" si="72"/>
        <v>0</v>
      </c>
      <c r="L192" s="210">
        <f t="shared" si="72"/>
        <v>0</v>
      </c>
      <c r="M192" s="210">
        <f t="shared" si="72"/>
        <v>0</v>
      </c>
      <c r="N192" s="210">
        <f t="shared" si="72"/>
        <v>0</v>
      </c>
      <c r="O192" s="210">
        <f t="shared" si="72"/>
        <v>0</v>
      </c>
      <c r="P192" s="210">
        <f t="shared" si="72"/>
        <v>-1.7652822038761725E-2</v>
      </c>
      <c r="Q192" s="210">
        <f t="shared" si="72"/>
        <v>-1.1824652841852232</v>
      </c>
      <c r="R192" s="210">
        <f t="shared" si="72"/>
        <v>-0.89237594544351895</v>
      </c>
      <c r="S192" s="210">
        <f t="shared" si="72"/>
        <v>0</v>
      </c>
      <c r="T192" s="210">
        <f t="shared" si="72"/>
        <v>-38.12436070227686</v>
      </c>
      <c r="U192" s="210">
        <f t="shared" si="72"/>
        <v>0</v>
      </c>
      <c r="V192" s="210">
        <f t="shared" si="72"/>
        <v>0</v>
      </c>
      <c r="W192" s="210">
        <f t="shared" si="72"/>
        <v>0</v>
      </c>
    </row>
    <row r="193" spans="1:23" s="6" customFormat="1" ht="12.75" customHeight="1" outlineLevel="1">
      <c r="A193" s="64"/>
      <c r="B193" s="64"/>
      <c r="C193" s="62"/>
      <c r="D193" s="159"/>
      <c r="E193" s="58" t="str">
        <f t="shared" ref="E193:W193" si="73" xml:space="preserve"> E$186</f>
        <v>Proportion of penalty allocated to Water Res</v>
      </c>
      <c r="F193" s="320">
        <f t="shared" si="73"/>
        <v>0</v>
      </c>
      <c r="G193" s="58" t="str">
        <f t="shared" si="73"/>
        <v>%</v>
      </c>
      <c r="H193" s="58">
        <f t="shared" si="73"/>
        <v>0</v>
      </c>
      <c r="I193" s="58">
        <f t="shared" si="73"/>
        <v>0</v>
      </c>
      <c r="J193" s="321">
        <f t="shared" si="73"/>
        <v>0</v>
      </c>
      <c r="K193" s="321">
        <f t="shared" si="73"/>
        <v>0</v>
      </c>
      <c r="L193" s="321">
        <f t="shared" si="73"/>
        <v>0</v>
      </c>
      <c r="M193" s="321">
        <f t="shared" si="73"/>
        <v>0</v>
      </c>
      <c r="N193" s="321">
        <f t="shared" si="73"/>
        <v>0</v>
      </c>
      <c r="O193" s="321">
        <f t="shared" si="73"/>
        <v>0</v>
      </c>
      <c r="P193" s="321">
        <f t="shared" si="73"/>
        <v>0</v>
      </c>
      <c r="Q193" s="321">
        <f t="shared" si="73"/>
        <v>0</v>
      </c>
      <c r="R193" s="321">
        <f t="shared" si="73"/>
        <v>0</v>
      </c>
      <c r="S193" s="321">
        <f t="shared" si="73"/>
        <v>0</v>
      </c>
      <c r="T193" s="321">
        <f t="shared" si="73"/>
        <v>1</v>
      </c>
      <c r="U193" s="321">
        <f t="shared" si="73"/>
        <v>0</v>
      </c>
      <c r="V193" s="321">
        <f t="shared" si="73"/>
        <v>0</v>
      </c>
      <c r="W193" s="321">
        <f t="shared" si="73"/>
        <v>0</v>
      </c>
    </row>
    <row r="194" spans="1:23" s="6" customFormat="1" ht="12.75" customHeight="1" outlineLevel="1">
      <c r="A194" s="64"/>
      <c r="B194" s="64"/>
      <c r="C194" s="62"/>
      <c r="D194" s="159"/>
      <c r="E194" s="153" t="s">
        <v>351</v>
      </c>
      <c r="F194" s="58"/>
      <c r="G194" s="58" t="s">
        <v>97</v>
      </c>
      <c r="H194" s="95">
        <f xml:space="preserve"> SUM( J194:W194 )</f>
        <v>-38.12436070227686</v>
      </c>
      <c r="I194" s="58"/>
      <c r="J194" s="233">
        <f xml:space="preserve"> J192 * J193</f>
        <v>0</v>
      </c>
      <c r="K194" s="233">
        <f t="shared" ref="K194:W194" si="74" xml:space="preserve"> K192 * K193</f>
        <v>0</v>
      </c>
      <c r="L194" s="233">
        <f t="shared" si="74"/>
        <v>0</v>
      </c>
      <c r="M194" s="233">
        <f t="shared" si="74"/>
        <v>0</v>
      </c>
      <c r="N194" s="233">
        <f t="shared" si="74"/>
        <v>0</v>
      </c>
      <c r="O194" s="233">
        <f t="shared" si="74"/>
        <v>0</v>
      </c>
      <c r="P194" s="233">
        <f t="shared" si="74"/>
        <v>0</v>
      </c>
      <c r="Q194" s="233">
        <f t="shared" si="74"/>
        <v>0</v>
      </c>
      <c r="R194" s="233">
        <f t="shared" si="74"/>
        <v>0</v>
      </c>
      <c r="S194" s="233">
        <f t="shared" si="74"/>
        <v>0</v>
      </c>
      <c r="T194" s="233">
        <f t="shared" si="74"/>
        <v>-38.12436070227686</v>
      </c>
      <c r="U194" s="233">
        <f t="shared" si="74"/>
        <v>0</v>
      </c>
      <c r="V194" s="233">
        <f t="shared" si="74"/>
        <v>0</v>
      </c>
      <c r="W194" s="233">
        <f t="shared" si="74"/>
        <v>0</v>
      </c>
    </row>
    <row r="195" spans="1:23" s="260" customFormat="1" ht="12.75" customHeight="1" outlineLevel="1">
      <c r="A195" s="254"/>
      <c r="B195" s="254"/>
      <c r="C195" s="255"/>
      <c r="D195" s="256"/>
      <c r="E195" s="251"/>
      <c r="F195" s="257"/>
      <c r="G195" s="257"/>
      <c r="H195" s="258"/>
      <c r="I195" s="257"/>
      <c r="J195" s="262"/>
      <c r="K195" s="262"/>
      <c r="L195" s="262"/>
      <c r="M195" s="262"/>
      <c r="N195" s="262"/>
      <c r="O195" s="262"/>
      <c r="P195" s="262"/>
      <c r="Q195" s="262"/>
      <c r="R195" s="262"/>
      <c r="S195" s="262"/>
      <c r="T195" s="262"/>
      <c r="U195" s="262"/>
      <c r="V195" s="262"/>
      <c r="W195" s="262"/>
    </row>
    <row r="196" spans="1:23" ht="12.75" customHeight="1">
      <c r="A196" s="115" t="s">
        <v>352</v>
      </c>
      <c r="B196" s="115"/>
      <c r="C196" s="114"/>
      <c r="D196" s="115"/>
      <c r="E196" s="115"/>
      <c r="F196" s="115"/>
      <c r="G196" s="115"/>
      <c r="H196" s="115"/>
      <c r="I196" s="115"/>
      <c r="J196" s="115"/>
      <c r="K196" s="115"/>
      <c r="L196" s="115"/>
      <c r="M196" s="115"/>
      <c r="N196" s="115"/>
      <c r="O196" s="115"/>
      <c r="P196" s="115"/>
      <c r="Q196" s="115"/>
      <c r="R196" s="115"/>
      <c r="S196" s="115"/>
      <c r="T196" s="115"/>
      <c r="U196" s="115"/>
      <c r="V196" s="115"/>
      <c r="W196" s="115"/>
    </row>
    <row r="197" spans="1:23" s="260" customFormat="1" ht="12.75" customHeight="1" outlineLevel="1">
      <c r="A197" s="254"/>
      <c r="B197" s="254"/>
      <c r="C197" s="255"/>
      <c r="D197" s="256"/>
      <c r="E197" s="251"/>
      <c r="F197" s="257"/>
      <c r="G197" s="257"/>
      <c r="H197" s="258"/>
      <c r="I197" s="257"/>
      <c r="J197" s="262"/>
      <c r="K197" s="262"/>
      <c r="L197" s="262"/>
      <c r="M197" s="262"/>
      <c r="N197" s="262"/>
      <c r="O197" s="262"/>
      <c r="P197" s="262"/>
      <c r="Q197" s="262"/>
      <c r="R197" s="262"/>
      <c r="S197" s="262"/>
      <c r="T197" s="262"/>
      <c r="U197" s="262"/>
      <c r="V197" s="262"/>
      <c r="W197" s="262"/>
    </row>
    <row r="198" spans="1:23" s="260" customFormat="1" ht="12.75" customHeight="1" outlineLevel="1">
      <c r="A198" s="254"/>
      <c r="B198" s="254" t="s">
        <v>353</v>
      </c>
      <c r="C198" s="255"/>
      <c r="D198" s="256"/>
      <c r="E198" s="251"/>
      <c r="F198" s="257"/>
      <c r="G198" s="257"/>
      <c r="H198" s="258"/>
      <c r="I198" s="257"/>
      <c r="J198" s="262"/>
      <c r="K198" s="262"/>
      <c r="L198" s="262"/>
      <c r="M198" s="262"/>
      <c r="N198" s="262"/>
      <c r="O198" s="262"/>
      <c r="P198" s="262"/>
      <c r="Q198" s="262"/>
      <c r="R198" s="262"/>
      <c r="S198" s="262"/>
      <c r="T198" s="262"/>
      <c r="U198" s="262"/>
      <c r="V198" s="262"/>
      <c r="W198" s="262"/>
    </row>
    <row r="199" spans="1:23" s="260" customFormat="1" ht="12.75" customHeight="1" outlineLevel="1">
      <c r="A199" s="254"/>
      <c r="B199" s="254"/>
      <c r="C199" s="255"/>
      <c r="D199" s="256"/>
      <c r="E199" s="251"/>
      <c r="F199" s="257"/>
      <c r="G199" s="257"/>
      <c r="H199" s="258"/>
      <c r="I199" s="257"/>
      <c r="J199" s="262"/>
      <c r="K199" s="262"/>
      <c r="L199" s="262"/>
      <c r="M199" s="262"/>
      <c r="N199" s="262"/>
      <c r="O199" s="262"/>
      <c r="P199" s="262"/>
      <c r="Q199" s="262"/>
      <c r="R199" s="262"/>
      <c r="S199" s="262"/>
      <c r="T199" s="262"/>
      <c r="U199" s="262"/>
      <c r="V199" s="262"/>
      <c r="W199" s="262"/>
    </row>
    <row r="200" spans="1:23" s="6" customFormat="1" ht="12.75" customHeight="1" outlineLevel="1">
      <c r="A200" s="64"/>
      <c r="B200" s="64"/>
      <c r="C200" s="62"/>
      <c r="D200" s="159"/>
      <c r="E200" s="205" t="str">
        <f t="shared" ref="E200:W200" si="75" xml:space="preserve"> E$107</f>
        <v>Main revenue adjustment - with financing adjustment &amp; 2 year lag of inflation - Water-N+</v>
      </c>
      <c r="F200" s="205">
        <f t="shared" si="75"/>
        <v>0</v>
      </c>
      <c r="G200" s="205" t="str">
        <f t="shared" si="75"/>
        <v>£m</v>
      </c>
      <c r="H200" s="44">
        <f t="shared" si="75"/>
        <v>90.385481726795831</v>
      </c>
      <c r="I200" s="44">
        <f t="shared" si="75"/>
        <v>0</v>
      </c>
      <c r="J200" s="44">
        <f t="shared" si="75"/>
        <v>0</v>
      </c>
      <c r="K200" s="44">
        <f t="shared" si="75"/>
        <v>0</v>
      </c>
      <c r="L200" s="44">
        <f t="shared" si="75"/>
        <v>0</v>
      </c>
      <c r="M200" s="44">
        <f t="shared" si="75"/>
        <v>0</v>
      </c>
      <c r="N200" s="44">
        <f t="shared" si="75"/>
        <v>0</v>
      </c>
      <c r="O200" s="44">
        <f t="shared" si="75"/>
        <v>0</v>
      </c>
      <c r="P200" s="44">
        <f t="shared" si="75"/>
        <v>19.474359279145894</v>
      </c>
      <c r="Q200" s="44">
        <f t="shared" si="75"/>
        <v>37.479333605050776</v>
      </c>
      <c r="R200" s="44">
        <f t="shared" si="75"/>
        <v>33.431788842599161</v>
      </c>
      <c r="S200" s="44">
        <f t="shared" si="75"/>
        <v>0</v>
      </c>
      <c r="T200" s="44">
        <f t="shared" si="75"/>
        <v>0</v>
      </c>
      <c r="U200" s="44">
        <f xml:space="preserve"> U$107</f>
        <v>0</v>
      </c>
      <c r="V200" s="44">
        <f t="shared" si="75"/>
        <v>0</v>
      </c>
      <c r="W200" s="44">
        <f t="shared" si="75"/>
        <v>0</v>
      </c>
    </row>
    <row r="201" spans="1:23" s="6" customFormat="1" ht="12.75" customHeight="1" outlineLevel="1">
      <c r="A201" s="64"/>
      <c r="B201" s="64"/>
      <c r="C201" s="62"/>
      <c r="D201" s="159"/>
      <c r="E201" s="153" t="str">
        <f xml:space="preserve"> E$190</f>
        <v>Penalty adjustment - with financing adjustment &amp; 2 year lag of inflation - Water-N+</v>
      </c>
      <c r="F201" s="153">
        <f t="shared" ref="F201:W201" si="76" xml:space="preserve"> F$190</f>
        <v>0</v>
      </c>
      <c r="G201" s="153" t="str">
        <f t="shared" si="76"/>
        <v>£m</v>
      </c>
      <c r="H201" s="153">
        <f t="shared" si="76"/>
        <v>-2.0924940516675039</v>
      </c>
      <c r="I201" s="276">
        <f t="shared" si="76"/>
        <v>0</v>
      </c>
      <c r="J201" s="276">
        <f t="shared" si="76"/>
        <v>0</v>
      </c>
      <c r="K201" s="276">
        <f t="shared" si="76"/>
        <v>0</v>
      </c>
      <c r="L201" s="276">
        <f t="shared" si="76"/>
        <v>0</v>
      </c>
      <c r="M201" s="276">
        <f t="shared" si="76"/>
        <v>0</v>
      </c>
      <c r="N201" s="276">
        <f t="shared" si="76"/>
        <v>0</v>
      </c>
      <c r="O201" s="276">
        <f t="shared" si="76"/>
        <v>0</v>
      </c>
      <c r="P201" s="276">
        <f t="shared" si="76"/>
        <v>-1.7652822038761725E-2</v>
      </c>
      <c r="Q201" s="276">
        <f t="shared" si="76"/>
        <v>-1.1824652841852232</v>
      </c>
      <c r="R201" s="276">
        <f t="shared" si="76"/>
        <v>-0.89237594544351895</v>
      </c>
      <c r="S201" s="276">
        <f t="shared" si="76"/>
        <v>0</v>
      </c>
      <c r="T201" s="276">
        <f t="shared" si="76"/>
        <v>0</v>
      </c>
      <c r="U201" s="276">
        <f t="shared" si="76"/>
        <v>0</v>
      </c>
      <c r="V201" s="276">
        <f t="shared" si="76"/>
        <v>0</v>
      </c>
      <c r="W201" s="276">
        <f t="shared" si="76"/>
        <v>0</v>
      </c>
    </row>
    <row r="202" spans="1:23" s="6" customFormat="1" ht="12.75" customHeight="1" outlineLevel="1">
      <c r="A202" s="64"/>
      <c r="B202" s="64"/>
      <c r="C202" s="62"/>
      <c r="D202" s="159"/>
      <c r="E202" s="292" t="str">
        <f xml:space="preserve"> Time!E56</f>
        <v>Forecast period flag</v>
      </c>
      <c r="F202" s="292">
        <f xml:space="preserve"> Time!F56</f>
        <v>0</v>
      </c>
      <c r="G202" s="292" t="str">
        <f xml:space="preserve"> Time!G56</f>
        <v>flag</v>
      </c>
      <c r="H202" s="292">
        <f xml:space="preserve"> Time!H56</f>
        <v>5</v>
      </c>
      <c r="I202" s="292">
        <f xml:space="preserve"> Time!I56</f>
        <v>0</v>
      </c>
      <c r="J202" s="292">
        <f xml:space="preserve"> Time!J56</f>
        <v>0</v>
      </c>
      <c r="K202" s="292">
        <f xml:space="preserve"> Time!K56</f>
        <v>0</v>
      </c>
      <c r="L202" s="292">
        <f xml:space="preserve"> Time!L56</f>
        <v>0</v>
      </c>
      <c r="M202" s="292">
        <f xml:space="preserve"> Time!M56</f>
        <v>0</v>
      </c>
      <c r="N202" s="292">
        <f xml:space="preserve"> Time!N56</f>
        <v>0</v>
      </c>
      <c r="O202" s="292">
        <f xml:space="preserve"> Time!O56</f>
        <v>0</v>
      </c>
      <c r="P202" s="292">
        <f xml:space="preserve"> Time!P56</f>
        <v>1</v>
      </c>
      <c r="Q202" s="292">
        <f xml:space="preserve"> Time!Q56</f>
        <v>1</v>
      </c>
      <c r="R202" s="292">
        <f xml:space="preserve"> Time!R56</f>
        <v>1</v>
      </c>
      <c r="S202" s="292">
        <f xml:space="preserve"> Time!S56</f>
        <v>1</v>
      </c>
      <c r="T202" s="292">
        <f xml:space="preserve"> Time!T56</f>
        <v>1</v>
      </c>
      <c r="U202" s="292">
        <f xml:space="preserve"> Time!U56</f>
        <v>0</v>
      </c>
      <c r="V202" s="292">
        <f xml:space="preserve"> Time!V56</f>
        <v>0</v>
      </c>
      <c r="W202" s="292">
        <f xml:space="preserve"> Time!W56</f>
        <v>0</v>
      </c>
    </row>
    <row r="203" spans="1:23" s="175" customFormat="1" ht="12.75" customHeight="1" outlineLevel="1" thickBot="1">
      <c r="A203" s="90"/>
      <c r="B203" s="90"/>
      <c r="C203" s="91"/>
      <c r="D203" s="293"/>
      <c r="E203" s="287" t="s">
        <v>354</v>
      </c>
      <c r="F203" s="287" t="s">
        <v>355</v>
      </c>
      <c r="G203" s="287" t="s">
        <v>97</v>
      </c>
      <c r="H203" s="287">
        <f xml:space="preserve"> SUM(J203:W203)</f>
        <v>88.29298767512833</v>
      </c>
      <c r="I203" s="287"/>
      <c r="J203" s="270"/>
      <c r="K203" s="287">
        <f t="shared" ref="K203:W203" si="77" xml:space="preserve"> ( I200 + I201 ) * K202</f>
        <v>0</v>
      </c>
      <c r="L203" s="287">
        <f t="shared" si="77"/>
        <v>0</v>
      </c>
      <c r="M203" s="287">
        <f t="shared" si="77"/>
        <v>0</v>
      </c>
      <c r="N203" s="287">
        <f t="shared" si="77"/>
        <v>0</v>
      </c>
      <c r="O203" s="287">
        <f t="shared" si="77"/>
        <v>0</v>
      </c>
      <c r="P203" s="287">
        <f t="shared" si="77"/>
        <v>0</v>
      </c>
      <c r="Q203" s="287">
        <f t="shared" si="77"/>
        <v>0</v>
      </c>
      <c r="R203" s="287">
        <f t="shared" si="77"/>
        <v>19.456706457107131</v>
      </c>
      <c r="S203" s="287">
        <f t="shared" si="77"/>
        <v>36.296868320865556</v>
      </c>
      <c r="T203" s="287">
        <f t="shared" si="77"/>
        <v>32.539412897155643</v>
      </c>
      <c r="U203" s="287">
        <f t="shared" si="77"/>
        <v>0</v>
      </c>
      <c r="V203" s="287">
        <f t="shared" si="77"/>
        <v>0</v>
      </c>
      <c r="W203" s="287">
        <f t="shared" si="77"/>
        <v>0</v>
      </c>
    </row>
    <row r="204" spans="1:23" s="175" customFormat="1" ht="12.75" customHeight="1" outlineLevel="1" thickTop="1">
      <c r="A204" s="90"/>
      <c r="B204" s="90"/>
      <c r="C204" s="91"/>
      <c r="D204" s="293"/>
      <c r="E204" s="95"/>
      <c r="F204" s="95"/>
      <c r="G204" s="95"/>
      <c r="H204" s="95"/>
      <c r="I204" s="95"/>
      <c r="J204" s="95"/>
      <c r="K204" s="95"/>
      <c r="L204" s="95"/>
      <c r="M204" s="95"/>
      <c r="N204" s="95"/>
      <c r="O204" s="95"/>
      <c r="P204" s="95"/>
      <c r="Q204" s="95"/>
      <c r="R204" s="95"/>
      <c r="S204" s="95"/>
      <c r="T204" s="95"/>
      <c r="U204" s="95"/>
      <c r="V204" s="95"/>
      <c r="W204" s="95"/>
    </row>
    <row r="205" spans="1:23" s="175" customFormat="1" ht="12.75" customHeight="1" outlineLevel="1">
      <c r="A205" s="90"/>
      <c r="B205" s="64" t="s">
        <v>356</v>
      </c>
      <c r="C205" s="91"/>
      <c r="D205" s="293"/>
      <c r="E205" s="95"/>
      <c r="F205" s="95"/>
      <c r="G205" s="95"/>
      <c r="H205" s="95"/>
      <c r="I205" s="95"/>
      <c r="J205" s="95"/>
      <c r="K205" s="95"/>
      <c r="L205" s="95"/>
      <c r="M205" s="95"/>
      <c r="N205" s="95"/>
      <c r="O205" s="95"/>
      <c r="P205" s="95"/>
      <c r="Q205" s="95"/>
      <c r="R205" s="95"/>
      <c r="S205" s="95"/>
      <c r="T205" s="95"/>
      <c r="U205" s="95"/>
      <c r="V205" s="95"/>
      <c r="W205" s="95"/>
    </row>
    <row r="206" spans="1:23" s="175" customFormat="1" ht="12.75" customHeight="1" outlineLevel="1">
      <c r="A206" s="90"/>
      <c r="B206" s="64"/>
      <c r="C206" s="91"/>
      <c r="D206" s="293"/>
      <c r="E206" s="95"/>
      <c r="F206" s="95"/>
      <c r="G206" s="95"/>
      <c r="H206" s="95"/>
      <c r="I206" s="95"/>
      <c r="J206" s="95"/>
      <c r="K206" s="95"/>
      <c r="L206" s="95"/>
      <c r="M206" s="95"/>
      <c r="N206" s="95"/>
      <c r="O206" s="95"/>
      <c r="P206" s="95"/>
      <c r="Q206" s="95"/>
      <c r="R206" s="95"/>
      <c r="S206" s="95"/>
      <c r="T206" s="95"/>
      <c r="U206" s="95"/>
      <c r="V206" s="95"/>
      <c r="W206" s="95"/>
    </row>
    <row r="207" spans="1:23" s="6" customFormat="1" ht="12.75" customHeight="1" outlineLevel="1">
      <c r="A207" s="64"/>
      <c r="B207" s="64"/>
      <c r="C207" s="62"/>
      <c r="D207" s="159"/>
      <c r="E207" s="205" t="str">
        <f xml:space="preserve"> E$119</f>
        <v>Main revenue adjustment - with financing adjustment &amp; 2 year lag of inflation - Water Res</v>
      </c>
      <c r="F207" s="205">
        <f t="shared" ref="F207:W207" si="78" xml:space="preserve"> F$119</f>
        <v>0</v>
      </c>
      <c r="G207" s="205" t="str">
        <f t="shared" si="78"/>
        <v>£m</v>
      </c>
      <c r="H207" s="44">
        <f t="shared" si="78"/>
        <v>6.8891948463653545</v>
      </c>
      <c r="I207" s="44">
        <f t="shared" si="78"/>
        <v>0</v>
      </c>
      <c r="J207" s="44">
        <f t="shared" si="78"/>
        <v>0</v>
      </c>
      <c r="K207" s="44">
        <f t="shared" si="78"/>
        <v>0</v>
      </c>
      <c r="L207" s="44">
        <f t="shared" si="78"/>
        <v>0</v>
      </c>
      <c r="M207" s="44">
        <f t="shared" si="78"/>
        <v>0</v>
      </c>
      <c r="N207" s="44">
        <f t="shared" si="78"/>
        <v>0</v>
      </c>
      <c r="O207" s="44">
        <f t="shared" si="78"/>
        <v>0</v>
      </c>
      <c r="P207" s="44">
        <f t="shared" si="78"/>
        <v>1.4142250575888193</v>
      </c>
      <c r="Q207" s="44">
        <f t="shared" si="78"/>
        <v>3.0871087443969478</v>
      </c>
      <c r="R207" s="44">
        <f t="shared" si="78"/>
        <v>2.3878610443795871</v>
      </c>
      <c r="S207" s="44">
        <f t="shared" si="78"/>
        <v>0</v>
      </c>
      <c r="T207" s="44">
        <f t="shared" si="78"/>
        <v>0</v>
      </c>
      <c r="U207" s="44">
        <f t="shared" si="78"/>
        <v>0</v>
      </c>
      <c r="V207" s="44">
        <f t="shared" si="78"/>
        <v>0</v>
      </c>
      <c r="W207" s="44">
        <f t="shared" si="78"/>
        <v>0</v>
      </c>
    </row>
    <row r="208" spans="1:23" s="6" customFormat="1" ht="12.75" customHeight="1" outlineLevel="1">
      <c r="A208" s="64"/>
      <c r="B208" s="64"/>
      <c r="C208" s="62"/>
      <c r="D208" s="159"/>
      <c r="E208" s="93" t="str">
        <f xml:space="preserve"> E$194</f>
        <v>Penalty adjustment - with financing adjustment &amp; 2 year lag of inflation - Water Res</v>
      </c>
      <c r="F208" s="93">
        <f t="shared" ref="F208:W208" si="79" xml:space="preserve"> F$194</f>
        <v>0</v>
      </c>
      <c r="G208" s="93" t="str">
        <f t="shared" si="79"/>
        <v>£m</v>
      </c>
      <c r="H208" s="93">
        <f t="shared" si="79"/>
        <v>-38.12436070227686</v>
      </c>
      <c r="I208" s="93">
        <f t="shared" si="79"/>
        <v>0</v>
      </c>
      <c r="J208" s="93">
        <f t="shared" si="79"/>
        <v>0</v>
      </c>
      <c r="K208" s="93">
        <f t="shared" si="79"/>
        <v>0</v>
      </c>
      <c r="L208" s="93">
        <f t="shared" si="79"/>
        <v>0</v>
      </c>
      <c r="M208" s="93">
        <f t="shared" si="79"/>
        <v>0</v>
      </c>
      <c r="N208" s="93">
        <f t="shared" si="79"/>
        <v>0</v>
      </c>
      <c r="O208" s="93">
        <f t="shared" si="79"/>
        <v>0</v>
      </c>
      <c r="P208" s="93">
        <f t="shared" si="79"/>
        <v>0</v>
      </c>
      <c r="Q208" s="93">
        <f t="shared" si="79"/>
        <v>0</v>
      </c>
      <c r="R208" s="93">
        <f t="shared" si="79"/>
        <v>0</v>
      </c>
      <c r="S208" s="93">
        <f t="shared" si="79"/>
        <v>0</v>
      </c>
      <c r="T208" s="93">
        <f t="shared" si="79"/>
        <v>-38.12436070227686</v>
      </c>
      <c r="U208" s="93">
        <f t="shared" si="79"/>
        <v>0</v>
      </c>
      <c r="V208" s="93">
        <f t="shared" si="79"/>
        <v>0</v>
      </c>
      <c r="W208" s="93">
        <f t="shared" si="79"/>
        <v>0</v>
      </c>
    </row>
    <row r="209" spans="1:23" s="6" customFormat="1" ht="12.75" customHeight="1" outlineLevel="1">
      <c r="A209" s="64"/>
      <c r="B209" s="64"/>
      <c r="C209" s="62"/>
      <c r="D209" s="159"/>
      <c r="E209" s="292" t="str">
        <f xml:space="preserve"> Time!E56</f>
        <v>Forecast period flag</v>
      </c>
      <c r="F209" s="292">
        <f xml:space="preserve"> Time!F56</f>
        <v>0</v>
      </c>
      <c r="G209" s="292" t="str">
        <f xml:space="preserve"> Time!G56</f>
        <v>flag</v>
      </c>
      <c r="H209" s="292">
        <f xml:space="preserve"> Time!H56</f>
        <v>5</v>
      </c>
      <c r="I209" s="292">
        <f xml:space="preserve"> Time!I56</f>
        <v>0</v>
      </c>
      <c r="J209" s="292">
        <f xml:space="preserve"> Time!J56</f>
        <v>0</v>
      </c>
      <c r="K209" s="292">
        <f xml:space="preserve"> Time!K56</f>
        <v>0</v>
      </c>
      <c r="L209" s="292">
        <f xml:space="preserve"> Time!L56</f>
        <v>0</v>
      </c>
      <c r="M209" s="292">
        <f xml:space="preserve"> Time!M56</f>
        <v>0</v>
      </c>
      <c r="N209" s="292">
        <f xml:space="preserve"> Time!N56</f>
        <v>0</v>
      </c>
      <c r="O209" s="292">
        <f xml:space="preserve"> Time!O56</f>
        <v>0</v>
      </c>
      <c r="P209" s="292">
        <f xml:space="preserve"> Time!P56</f>
        <v>1</v>
      </c>
      <c r="Q209" s="292">
        <f xml:space="preserve"> Time!Q56</f>
        <v>1</v>
      </c>
      <c r="R209" s="292">
        <f xml:space="preserve"> Time!R56</f>
        <v>1</v>
      </c>
      <c r="S209" s="292">
        <f xml:space="preserve"> Time!S56</f>
        <v>1</v>
      </c>
      <c r="T209" s="292">
        <f xml:space="preserve"> Time!T56</f>
        <v>1</v>
      </c>
      <c r="U209" s="292">
        <f xml:space="preserve"> Time!U56</f>
        <v>0</v>
      </c>
      <c r="V209" s="292">
        <f xml:space="preserve"> Time!V56</f>
        <v>0</v>
      </c>
      <c r="W209" s="292">
        <f xml:space="preserve"> Time!W56</f>
        <v>0</v>
      </c>
    </row>
    <row r="210" spans="1:23" s="175" customFormat="1" ht="12.75" customHeight="1" outlineLevel="1" thickBot="1">
      <c r="A210" s="90"/>
      <c r="B210" s="90"/>
      <c r="C210" s="91"/>
      <c r="D210" s="293"/>
      <c r="E210" s="287" t="s">
        <v>357</v>
      </c>
      <c r="F210" s="287" t="s">
        <v>355</v>
      </c>
      <c r="G210" s="287" t="s">
        <v>97</v>
      </c>
      <c r="H210" s="287">
        <f xml:space="preserve"> SUM(J210:W210)</f>
        <v>6.8891948463653545</v>
      </c>
      <c r="I210" s="287"/>
      <c r="J210" s="270"/>
      <c r="K210" s="287">
        <f t="shared" ref="K210:W210" si="80" xml:space="preserve"> ( I207 + I208 ) * K209</f>
        <v>0</v>
      </c>
      <c r="L210" s="287">
        <f t="shared" si="80"/>
        <v>0</v>
      </c>
      <c r="M210" s="287">
        <f t="shared" si="80"/>
        <v>0</v>
      </c>
      <c r="N210" s="287">
        <f t="shared" si="80"/>
        <v>0</v>
      </c>
      <c r="O210" s="287">
        <f t="shared" si="80"/>
        <v>0</v>
      </c>
      <c r="P210" s="287">
        <f t="shared" si="80"/>
        <v>0</v>
      </c>
      <c r="Q210" s="287">
        <f t="shared" si="80"/>
        <v>0</v>
      </c>
      <c r="R210" s="287">
        <f t="shared" si="80"/>
        <v>1.4142250575888193</v>
      </c>
      <c r="S210" s="287">
        <f t="shared" si="80"/>
        <v>3.0871087443969478</v>
      </c>
      <c r="T210" s="287">
        <f t="shared" si="80"/>
        <v>2.3878610443795871</v>
      </c>
      <c r="U210" s="287">
        <f t="shared" si="80"/>
        <v>0</v>
      </c>
      <c r="V210" s="287">
        <f t="shared" si="80"/>
        <v>0</v>
      </c>
      <c r="W210" s="287">
        <f t="shared" si="80"/>
        <v>0</v>
      </c>
    </row>
    <row r="211" spans="1:23" ht="12.75" customHeight="1" thickTop="1"/>
    <row r="212" spans="1:23" ht="12.75" customHeight="1">
      <c r="A212" s="115" t="s">
        <v>358</v>
      </c>
      <c r="B212" s="115"/>
      <c r="C212" s="114"/>
      <c r="D212" s="115"/>
      <c r="E212" s="115"/>
      <c r="F212" s="115"/>
      <c r="G212" s="115"/>
      <c r="H212" s="115"/>
      <c r="I212" s="115"/>
      <c r="J212" s="115"/>
      <c r="K212" s="115"/>
      <c r="L212" s="115"/>
      <c r="M212" s="115"/>
      <c r="N212" s="115"/>
      <c r="O212" s="115"/>
      <c r="P212" s="115"/>
      <c r="Q212" s="115"/>
      <c r="R212" s="115"/>
      <c r="S212" s="115"/>
      <c r="T212" s="115"/>
      <c r="U212" s="115"/>
      <c r="V212" s="115"/>
      <c r="W212" s="115"/>
    </row>
    <row r="213" spans="1:23" ht="12.75" customHeight="1">
      <c r="A213"/>
      <c r="B213"/>
      <c r="C213"/>
      <c r="D213"/>
      <c r="E213"/>
      <c r="F213"/>
      <c r="G213"/>
      <c r="H213"/>
      <c r="I213"/>
      <c r="J213"/>
      <c r="K213"/>
      <c r="L213"/>
      <c r="M213"/>
      <c r="N213"/>
      <c r="O213"/>
      <c r="P213"/>
      <c r="Q213"/>
      <c r="R213"/>
      <c r="S213"/>
      <c r="T213"/>
      <c r="U213"/>
    </row>
    <row r="214" spans="1:23" ht="12.75" customHeight="1" outlineLevel="1">
      <c r="A214"/>
      <c r="B214" s="63" t="s">
        <v>359</v>
      </c>
      <c r="C214"/>
      <c r="D214"/>
      <c r="E214"/>
      <c r="F214"/>
      <c r="G214"/>
      <c r="H214"/>
      <c r="I214"/>
      <c r="J214"/>
      <c r="K214"/>
      <c r="L214"/>
      <c r="M214"/>
      <c r="N214"/>
      <c r="O214"/>
      <c r="P214"/>
      <c r="Q214"/>
      <c r="R214"/>
      <c r="S214"/>
      <c r="T214"/>
      <c r="U214"/>
    </row>
    <row r="215" spans="1:23" ht="12.75" customHeight="1" outlineLevel="1">
      <c r="A215"/>
      <c r="B215"/>
      <c r="C215"/>
      <c r="D215"/>
      <c r="E215"/>
      <c r="F215"/>
      <c r="G215"/>
      <c r="H215"/>
      <c r="I215"/>
      <c r="J215"/>
      <c r="K215"/>
      <c r="L215"/>
      <c r="M215"/>
      <c r="N215"/>
      <c r="O215"/>
      <c r="P215"/>
      <c r="Q215"/>
      <c r="R215"/>
      <c r="S215"/>
      <c r="T215"/>
      <c r="U215"/>
    </row>
    <row r="216" spans="1:23" s="123" customFormat="1" ht="12.75" customHeight="1" outlineLevel="1">
      <c r="A216" s="166"/>
      <c r="B216" s="166"/>
      <c r="C216" s="167"/>
      <c r="D216" s="75"/>
      <c r="E216" s="96" t="str">
        <f xml:space="preserve"> Inputs!E$77</f>
        <v>Bilateral entry adjustment (BEA) (base year 2017/18)</v>
      </c>
      <c r="F216" s="96">
        <f xml:space="preserve"> Inputs!F$77</f>
        <v>0</v>
      </c>
      <c r="G216" s="96" t="str">
        <f xml:space="preserve"> Inputs!G$77</f>
        <v>£m</v>
      </c>
      <c r="H216" s="96">
        <f xml:space="preserve"> Inputs!H$77</f>
        <v>0</v>
      </c>
      <c r="I216" s="96">
        <f xml:space="preserve"> Inputs!I$77</f>
        <v>0</v>
      </c>
      <c r="J216" s="96">
        <f xml:space="preserve"> Inputs!J$77</f>
        <v>0</v>
      </c>
      <c r="K216" s="96">
        <f xml:space="preserve"> Inputs!K$77</f>
        <v>0</v>
      </c>
      <c r="L216" s="96">
        <f xml:space="preserve"> Inputs!L$77</f>
        <v>0</v>
      </c>
      <c r="M216" s="96">
        <f xml:space="preserve"> Inputs!M$77</f>
        <v>0</v>
      </c>
      <c r="N216" s="96">
        <f xml:space="preserve"> Inputs!N$77</f>
        <v>0</v>
      </c>
      <c r="O216" s="96">
        <f xml:space="preserve"> Inputs!O$77</f>
        <v>0</v>
      </c>
      <c r="P216" s="96">
        <f xml:space="preserve"> Inputs!P$77</f>
        <v>0</v>
      </c>
      <c r="Q216" s="96">
        <f xml:space="preserve"> Inputs!Q$77</f>
        <v>0</v>
      </c>
      <c r="R216" s="96">
        <f xml:space="preserve"> Inputs!R$77</f>
        <v>0</v>
      </c>
      <c r="S216" s="96">
        <f xml:space="preserve"> Inputs!S$77</f>
        <v>0</v>
      </c>
      <c r="T216" s="96">
        <f xml:space="preserve"> Inputs!T$77</f>
        <v>0</v>
      </c>
      <c r="U216" s="96">
        <f xml:space="preserve"> Inputs!U$77</f>
        <v>0</v>
      </c>
      <c r="V216" s="96">
        <f xml:space="preserve"> Inputs!V$77</f>
        <v>0</v>
      </c>
      <c r="W216" s="96">
        <f xml:space="preserve"> Inputs!W$77</f>
        <v>0</v>
      </c>
    </row>
    <row r="217" spans="1:23" s="55" customFormat="1" ht="12.75" customHeight="1" outlineLevel="1">
      <c r="E217" s="330" t="str">
        <f xml:space="preserve"> 'Indices and K factor'!E$28</f>
        <v>CPIH: Nov - Nov index (prior year) inflating from 2017/18</v>
      </c>
      <c r="F217" s="330">
        <f xml:space="preserve"> 'Indices and K factor'!F$28</f>
        <v>0</v>
      </c>
      <c r="G217" s="330" t="str">
        <f xml:space="preserve"> 'Indices and K factor'!G$28</f>
        <v>index</v>
      </c>
      <c r="H217" s="331">
        <f xml:space="preserve"> 'Indices and K factor'!H$28</f>
        <v>0</v>
      </c>
      <c r="I217" s="331">
        <f xml:space="preserve"> 'Indices and K factor'!I$28</f>
        <v>0</v>
      </c>
      <c r="J217" s="43">
        <f xml:space="preserve"> 'Indices and K factor'!J$28</f>
        <v>0</v>
      </c>
      <c r="K217" s="43">
        <f xml:space="preserve"> 'Indices and K factor'!K$28</f>
        <v>0</v>
      </c>
      <c r="L217" s="43">
        <f xml:space="preserve"> 'Indices and K factor'!L$28</f>
        <v>0</v>
      </c>
      <c r="M217" s="43">
        <f xml:space="preserve"> 'Indices and K factor'!M$28</f>
        <v>0</v>
      </c>
      <c r="N217" s="43">
        <f xml:space="preserve"> 'Indices and K factor'!N$28</f>
        <v>0</v>
      </c>
      <c r="O217" s="43">
        <f xml:space="preserve"> 'Indices and K factor'!O$28</f>
        <v>0</v>
      </c>
      <c r="P217" s="43">
        <f xml:space="preserve"> 'Indices and K factor'!P$28</f>
        <v>1.0658153241650294</v>
      </c>
      <c r="Q217" s="43">
        <f xml:space="preserve"> 'Indices and K factor'!Q$28</f>
        <v>1.0717092337917484</v>
      </c>
      <c r="R217" s="43">
        <f xml:space="preserve"> 'Indices and K factor'!R$28</f>
        <v>1.1208251473477406</v>
      </c>
      <c r="S217" s="43">
        <f xml:space="preserve"> 'Indices and K factor'!S$28</f>
        <v>1.2259332023575638</v>
      </c>
      <c r="T217" s="43">
        <f xml:space="preserve"> 'Indices and K factor'!T$28</f>
        <v>1.2774950884086445</v>
      </c>
      <c r="U217" s="43">
        <f xml:space="preserve"> 'Indices and K factor'!U$28</f>
        <v>0</v>
      </c>
      <c r="V217" s="43">
        <f xml:space="preserve"> 'Indices and K factor'!V$28</f>
        <v>0</v>
      </c>
      <c r="W217" s="43">
        <f xml:space="preserve"> 'Indices and K factor'!W$28</f>
        <v>0</v>
      </c>
    </row>
    <row r="218" spans="1:23" s="129" customFormat="1" ht="12.75" customHeight="1" outlineLevel="1">
      <c r="E218" s="148" t="s">
        <v>360</v>
      </c>
      <c r="F218" s="148"/>
      <c r="G218" s="148" t="s">
        <v>97</v>
      </c>
      <c r="H218" s="86">
        <f xml:space="preserve"> SUM( J218:W218 )</f>
        <v>0</v>
      </c>
      <c r="I218" s="67"/>
      <c r="J218" s="86">
        <f xml:space="preserve"> J216 * J217</f>
        <v>0</v>
      </c>
      <c r="K218" s="86">
        <f t="shared" ref="K218:W218" si="81" xml:space="preserve"> K216 * K217</f>
        <v>0</v>
      </c>
      <c r="L218" s="86">
        <f t="shared" si="81"/>
        <v>0</v>
      </c>
      <c r="M218" s="86">
        <f t="shared" si="81"/>
        <v>0</v>
      </c>
      <c r="N218" s="86">
        <f t="shared" si="81"/>
        <v>0</v>
      </c>
      <c r="O218" s="86">
        <f t="shared" si="81"/>
        <v>0</v>
      </c>
      <c r="P218" s="86">
        <f t="shared" si="81"/>
        <v>0</v>
      </c>
      <c r="Q218" s="86">
        <f t="shared" si="81"/>
        <v>0</v>
      </c>
      <c r="R218" s="86">
        <f t="shared" si="81"/>
        <v>0</v>
      </c>
      <c r="S218" s="86">
        <f t="shared" si="81"/>
        <v>0</v>
      </c>
      <c r="T218" s="86">
        <f t="shared" si="81"/>
        <v>0</v>
      </c>
      <c r="U218" s="86">
        <f t="shared" si="81"/>
        <v>0</v>
      </c>
      <c r="V218" s="86">
        <f t="shared" si="81"/>
        <v>0</v>
      </c>
      <c r="W218" s="86">
        <f t="shared" si="81"/>
        <v>0</v>
      </c>
    </row>
    <row r="219" spans="1:23" ht="12.75" customHeight="1" outlineLevel="1">
      <c r="A219"/>
      <c r="B219"/>
      <c r="C219"/>
      <c r="D219"/>
      <c r="E219"/>
      <c r="F219"/>
      <c r="G219"/>
      <c r="H219"/>
      <c r="I219"/>
      <c r="J219"/>
      <c r="K219"/>
      <c r="L219"/>
      <c r="M219"/>
      <c r="N219"/>
      <c r="O219"/>
      <c r="P219"/>
      <c r="Q219"/>
      <c r="R219"/>
      <c r="S219"/>
      <c r="T219"/>
      <c r="U219"/>
    </row>
    <row r="220" spans="1:23" ht="12.75" customHeight="1" outlineLevel="1">
      <c r="A220" s="63"/>
      <c r="B220" s="63" t="s">
        <v>361</v>
      </c>
      <c r="C220" s="110"/>
      <c r="E220" s="74"/>
    </row>
    <row r="221" spans="1:23" ht="12.75" customHeight="1" outlineLevel="1">
      <c r="A221" s="63"/>
      <c r="C221" s="110"/>
      <c r="E221" s="74"/>
    </row>
    <row r="222" spans="1:23" ht="12.75" customHeight="1" outlineLevel="1">
      <c r="A222" s="63"/>
      <c r="C222" s="110"/>
      <c r="E222" s="206" t="str">
        <f t="shared" ref="E222:W222" si="82" xml:space="preserve"> E$163</f>
        <v>Penalty adjustment - Wholesale Water</v>
      </c>
      <c r="F222" s="206">
        <f t="shared" si="82"/>
        <v>0</v>
      </c>
      <c r="G222" s="206" t="str">
        <f t="shared" si="82"/>
        <v>£m</v>
      </c>
      <c r="H222" s="206">
        <f t="shared" si="82"/>
        <v>-36.996349776260104</v>
      </c>
      <c r="I222" s="206">
        <f t="shared" si="82"/>
        <v>0</v>
      </c>
      <c r="J222" s="206">
        <f t="shared" si="82"/>
        <v>0</v>
      </c>
      <c r="K222" s="206">
        <f t="shared" si="82"/>
        <v>0</v>
      </c>
      <c r="L222" s="206">
        <f t="shared" si="82"/>
        <v>0</v>
      </c>
      <c r="M222" s="206">
        <f t="shared" si="82"/>
        <v>0</v>
      </c>
      <c r="N222" s="206">
        <f t="shared" si="82"/>
        <v>0</v>
      </c>
      <c r="O222" s="206">
        <f t="shared" si="82"/>
        <v>0</v>
      </c>
      <c r="P222" s="206">
        <f t="shared" si="82"/>
        <v>-1.6310168932258232E-2</v>
      </c>
      <c r="Q222" s="206">
        <f t="shared" si="82"/>
        <v>-1.004381690102593</v>
      </c>
      <c r="R222" s="206">
        <f t="shared" si="82"/>
        <v>-0.76072327641855586</v>
      </c>
      <c r="S222" s="206">
        <f t="shared" si="82"/>
        <v>0</v>
      </c>
      <c r="T222" s="206">
        <f t="shared" si="82"/>
        <v>-35.214934640806696</v>
      </c>
      <c r="U222" s="206">
        <f t="shared" si="82"/>
        <v>0</v>
      </c>
      <c r="V222" s="206">
        <f t="shared" si="82"/>
        <v>0</v>
      </c>
      <c r="W222" s="206">
        <f t="shared" si="82"/>
        <v>0</v>
      </c>
    </row>
    <row r="223" spans="1:23" ht="12.75" customHeight="1" outlineLevel="1">
      <c r="A223" s="63"/>
      <c r="C223" s="110"/>
      <c r="E223" s="274" t="str">
        <f xml:space="preserve"> Inputs!E$101</f>
        <v>Proportion of penalty allocated to Water-N+ (PS)</v>
      </c>
      <c r="F223" s="289">
        <f xml:space="preserve"> Inputs!F$101</f>
        <v>0</v>
      </c>
      <c r="G223" s="289" t="str">
        <f xml:space="preserve"> Inputs!G$101</f>
        <v>%</v>
      </c>
      <c r="H223" s="289">
        <f xml:space="preserve"> Inputs!H$101</f>
        <v>0</v>
      </c>
      <c r="I223" s="289">
        <f xml:space="preserve"> Inputs!I$101</f>
        <v>0</v>
      </c>
      <c r="J223" s="289">
        <f xml:space="preserve"> Inputs!J$101</f>
        <v>0</v>
      </c>
      <c r="K223" s="289">
        <f xml:space="preserve"> Inputs!K$101</f>
        <v>0</v>
      </c>
      <c r="L223" s="289">
        <f xml:space="preserve"> Inputs!L$101</f>
        <v>0</v>
      </c>
      <c r="M223" s="289">
        <f xml:space="preserve"> Inputs!M$101</f>
        <v>0</v>
      </c>
      <c r="N223" s="289">
        <f xml:space="preserve"> Inputs!N$101</f>
        <v>0</v>
      </c>
      <c r="O223" s="289">
        <f xml:space="preserve"> Inputs!O$101</f>
        <v>0</v>
      </c>
      <c r="P223" s="289">
        <f xml:space="preserve"> Inputs!P$101</f>
        <v>1</v>
      </c>
      <c r="Q223" s="289">
        <f xml:space="preserve"> Inputs!Q$101</f>
        <v>1</v>
      </c>
      <c r="R223" s="289">
        <f xml:space="preserve"> Inputs!R$101</f>
        <v>1</v>
      </c>
      <c r="S223" s="289">
        <f xml:space="preserve"> Inputs!S$101</f>
        <v>1</v>
      </c>
      <c r="T223" s="289">
        <f xml:space="preserve"> Inputs!T$101</f>
        <v>0</v>
      </c>
      <c r="U223" s="289">
        <f xml:space="preserve"> Inputs!U$101</f>
        <v>0</v>
      </c>
      <c r="V223" s="289">
        <f xml:space="preserve"> Inputs!V$101</f>
        <v>0</v>
      </c>
      <c r="W223" s="289">
        <f xml:space="preserve"> Inputs!W$101</f>
        <v>0</v>
      </c>
    </row>
    <row r="224" spans="1:23" ht="12.75" customHeight="1" outlineLevel="1">
      <c r="A224" s="63"/>
      <c r="C224" s="110"/>
      <c r="E224" s="156" t="s">
        <v>362</v>
      </c>
      <c r="F224" s="156"/>
      <c r="G224" s="156" t="s">
        <v>97</v>
      </c>
      <c r="H224" s="156">
        <f xml:space="preserve"> SUM( J224:W224 )</f>
        <v>-1.7814151354534071</v>
      </c>
      <c r="I224" s="156"/>
      <c r="J224" s="35">
        <f xml:space="preserve"> J222 * J223</f>
        <v>0</v>
      </c>
      <c r="K224" s="35">
        <f t="shared" ref="K224:W224" si="83" xml:space="preserve"> K222 * K223</f>
        <v>0</v>
      </c>
      <c r="L224" s="35">
        <f t="shared" si="83"/>
        <v>0</v>
      </c>
      <c r="M224" s="35">
        <f t="shared" si="83"/>
        <v>0</v>
      </c>
      <c r="N224" s="35">
        <f t="shared" si="83"/>
        <v>0</v>
      </c>
      <c r="O224" s="35">
        <f t="shared" si="83"/>
        <v>0</v>
      </c>
      <c r="P224" s="35">
        <f t="shared" si="83"/>
        <v>-1.6310168932258232E-2</v>
      </c>
      <c r="Q224" s="35">
        <f t="shared" si="83"/>
        <v>-1.004381690102593</v>
      </c>
      <c r="R224" s="35">
        <f t="shared" si="83"/>
        <v>-0.76072327641855586</v>
      </c>
      <c r="S224" s="35">
        <f t="shared" si="83"/>
        <v>0</v>
      </c>
      <c r="T224" s="35">
        <f t="shared" si="83"/>
        <v>0</v>
      </c>
      <c r="U224" s="35">
        <f t="shared" si="83"/>
        <v>0</v>
      </c>
      <c r="V224" s="35">
        <f t="shared" si="83"/>
        <v>0</v>
      </c>
      <c r="W224" s="35">
        <f t="shared" si="83"/>
        <v>0</v>
      </c>
    </row>
    <row r="225" spans="1:23" ht="12.75" customHeight="1" outlineLevel="1">
      <c r="A225" s="63"/>
      <c r="C225" s="110"/>
      <c r="E225" s="74"/>
    </row>
    <row r="226" spans="1:23" ht="12.75" customHeight="1" outlineLevel="1">
      <c r="E226" s="36" t="str">
        <f xml:space="preserve"> Inputs!E$63</f>
        <v>Discount rate</v>
      </c>
      <c r="F226" s="36">
        <f xml:space="preserve"> Inputs!F$63</f>
        <v>2.92E-2</v>
      </c>
      <c r="G226" s="36" t="str">
        <f xml:space="preserve"> Inputs!G$63</f>
        <v>%</v>
      </c>
      <c r="H226" s="36">
        <f xml:space="preserve"> Inputs!H$63</f>
        <v>0</v>
      </c>
      <c r="I226" s="36">
        <f xml:space="preserve"> Inputs!I$63</f>
        <v>0</v>
      </c>
      <c r="J226" s="36">
        <f xml:space="preserve"> Inputs!J$63</f>
        <v>0</v>
      </c>
      <c r="K226" s="36">
        <f xml:space="preserve"> Inputs!K$63</f>
        <v>0</v>
      </c>
      <c r="L226" s="36">
        <f xml:space="preserve"> Inputs!L$63</f>
        <v>0</v>
      </c>
      <c r="M226" s="36">
        <f xml:space="preserve"> Inputs!M$63</f>
        <v>0</v>
      </c>
      <c r="N226" s="36">
        <f xml:space="preserve"> Inputs!N$63</f>
        <v>0</v>
      </c>
      <c r="O226" s="36">
        <f xml:space="preserve"> Inputs!O$63</f>
        <v>0</v>
      </c>
      <c r="P226" s="36">
        <f xml:space="preserve"> Inputs!P$63</f>
        <v>0</v>
      </c>
      <c r="Q226" s="36">
        <f xml:space="preserve"> Inputs!Q$63</f>
        <v>0</v>
      </c>
      <c r="R226" s="36">
        <f xml:space="preserve"> Inputs!R$63</f>
        <v>0</v>
      </c>
      <c r="S226" s="36">
        <f xml:space="preserve"> Inputs!S$63</f>
        <v>0</v>
      </c>
      <c r="T226" s="36">
        <f xml:space="preserve"> Inputs!T$63</f>
        <v>0</v>
      </c>
      <c r="U226" s="36">
        <f xml:space="preserve"> Inputs!U$63</f>
        <v>0</v>
      </c>
      <c r="V226" s="36">
        <f xml:space="preserve"> Inputs!V$63</f>
        <v>0</v>
      </c>
      <c r="W226" s="36">
        <f xml:space="preserve"> Inputs!W$63</f>
        <v>0</v>
      </c>
    </row>
    <row r="227" spans="1:23" ht="12.75" customHeight="1" outlineLevel="1">
      <c r="A227" s="63"/>
      <c r="C227" s="110"/>
      <c r="E227" s="36" t="str">
        <f xml:space="preserve"> 'Indices and K factor'!E$11</f>
        <v>CPIH: Nov % increase (prior year) - CALC</v>
      </c>
      <c r="F227" s="36">
        <f xml:space="preserve"> 'Indices and K factor'!F$11</f>
        <v>0</v>
      </c>
      <c r="G227" s="36" t="str">
        <f xml:space="preserve"> 'Indices and K factor'!G$11</f>
        <v>%</v>
      </c>
      <c r="H227" s="36">
        <f xml:space="preserve"> 'Indices and K factor'!H$11</f>
        <v>0</v>
      </c>
      <c r="I227" s="36">
        <f xml:space="preserve"> 'Indices and K factor'!I$11</f>
        <v>0</v>
      </c>
      <c r="J227" s="36">
        <f xml:space="preserve"> 'Indices and K factor'!J$11</f>
        <v>0</v>
      </c>
      <c r="K227" s="36">
        <f xml:space="preserve"> 'Indices and K factor'!K$11</f>
        <v>0</v>
      </c>
      <c r="L227" s="36">
        <f xml:space="preserve"> 'Indices and K factor'!L$11</f>
        <v>1.0040040040040039</v>
      </c>
      <c r="M227" s="36">
        <f xml:space="preserve"> 'Indices and K factor'!M$11</f>
        <v>1.0149551345962113</v>
      </c>
      <c r="N227" s="36">
        <f xml:space="preserve"> 'Indices and K factor'!N$11</f>
        <v>1.0284872298624754</v>
      </c>
      <c r="O227" s="36">
        <f xml:space="preserve"> 'Indices and K factor'!O$11</f>
        <v>1.0210124164278893</v>
      </c>
      <c r="P227" s="36">
        <f xml:space="preserve"> 'Indices and K factor'!P$11</f>
        <v>1.0149672591206735</v>
      </c>
      <c r="Q227" s="36">
        <f xml:space="preserve"> 'Indices and K factor'!Q$11</f>
        <v>1.0055299539170506</v>
      </c>
      <c r="R227" s="36">
        <f xml:space="preserve"> 'Indices and K factor'!R$11</f>
        <v>1.0458295142071494</v>
      </c>
      <c r="S227" s="36">
        <f xml:space="preserve"> 'Indices and K factor'!S$11</f>
        <v>1.0937773882559159</v>
      </c>
      <c r="T227" s="36">
        <f xml:space="preserve"> 'Indices and K factor'!T$11</f>
        <v>1.042059294871795</v>
      </c>
      <c r="U227" s="36">
        <f xml:space="preserve"> 'Indices and K factor'!U$11</f>
        <v>1.0312779542070039</v>
      </c>
      <c r="V227" s="36">
        <f xml:space="preserve"> 'Indices and K factor'!V$11</f>
        <v>1.02</v>
      </c>
      <c r="W227" s="36">
        <f xml:space="preserve"> 'Indices and K factor'!W$11</f>
        <v>1.02</v>
      </c>
    </row>
    <row r="228" spans="1:23" s="155" customFormat="1" ht="13.2" outlineLevel="1">
      <c r="A228" s="64"/>
      <c r="B228" s="64"/>
      <c r="C228" s="62"/>
      <c r="D228" s="159"/>
      <c r="E228" s="206" t="str">
        <f xml:space="preserve"> E$83</f>
        <v>Revenue Imbalance - Water-N+</v>
      </c>
      <c r="F228" s="206">
        <f t="shared" ref="F228:W228" si="84" xml:space="preserve"> F$83</f>
        <v>0</v>
      </c>
      <c r="G228" s="206" t="str">
        <f t="shared" si="84"/>
        <v>£m</v>
      </c>
      <c r="H228" s="206">
        <f t="shared" si="84"/>
        <v>1152.4523548870193</v>
      </c>
      <c r="I228" s="206">
        <f t="shared" si="84"/>
        <v>0</v>
      </c>
      <c r="J228" s="206">
        <f t="shared" si="84"/>
        <v>0</v>
      </c>
      <c r="K228" s="206">
        <f t="shared" si="84"/>
        <v>0</v>
      </c>
      <c r="L228" s="206">
        <f t="shared" si="84"/>
        <v>0</v>
      </c>
      <c r="M228" s="206">
        <f t="shared" si="84"/>
        <v>0</v>
      </c>
      <c r="N228" s="206">
        <f t="shared" si="84"/>
        <v>0</v>
      </c>
      <c r="O228" s="206">
        <f t="shared" si="84"/>
        <v>0</v>
      </c>
      <c r="P228" s="206">
        <f t="shared" si="84"/>
        <v>17.482668256280476</v>
      </c>
      <c r="Q228" s="206">
        <f t="shared" si="84"/>
        <v>30.931606068130918</v>
      </c>
      <c r="R228" s="206">
        <f t="shared" si="84"/>
        <v>27.691003044624722</v>
      </c>
      <c r="S228" s="206">
        <f t="shared" si="84"/>
        <v>21.216382882526432</v>
      </c>
      <c r="T228" s="206">
        <f t="shared" si="84"/>
        <v>1055.1306946354568</v>
      </c>
      <c r="U228" s="206">
        <f t="shared" si="84"/>
        <v>0</v>
      </c>
      <c r="V228" s="206">
        <f t="shared" si="84"/>
        <v>0</v>
      </c>
      <c r="W228" s="206">
        <f t="shared" si="84"/>
        <v>0</v>
      </c>
    </row>
    <row r="229" spans="1:23" s="123" customFormat="1" ht="12.75" customHeight="1" outlineLevel="1">
      <c r="A229" s="166"/>
      <c r="B229" s="166"/>
      <c r="C229" s="167"/>
      <c r="D229" s="75"/>
      <c r="E229" s="98" t="str">
        <f xml:space="preserve"> Time!E$51</f>
        <v>Forecast end period flag</v>
      </c>
      <c r="F229" s="98">
        <f xml:space="preserve"> Time!F$51</f>
        <v>0</v>
      </c>
      <c r="G229" s="98" t="str">
        <f xml:space="preserve"> Time!G$51</f>
        <v>flag</v>
      </c>
      <c r="H229" s="98">
        <f xml:space="preserve"> Time!H$51</f>
        <v>1</v>
      </c>
      <c r="I229" s="98">
        <f xml:space="preserve"> Time!I$51</f>
        <v>0</v>
      </c>
      <c r="J229" s="98">
        <f xml:space="preserve"> Time!J$51</f>
        <v>0</v>
      </c>
      <c r="K229" s="98">
        <f xml:space="preserve"> Time!K$51</f>
        <v>0</v>
      </c>
      <c r="L229" s="98">
        <f xml:space="preserve"> Time!L$51</f>
        <v>0</v>
      </c>
      <c r="M229" s="98">
        <f xml:space="preserve"> Time!M$51</f>
        <v>0</v>
      </c>
      <c r="N229" s="98">
        <f xml:space="preserve"> Time!N$51</f>
        <v>0</v>
      </c>
      <c r="O229" s="98">
        <f xml:space="preserve"> Time!O$51</f>
        <v>0</v>
      </c>
      <c r="P229" s="98">
        <f xml:space="preserve"> Time!P$51</f>
        <v>0</v>
      </c>
      <c r="Q229" s="98">
        <f xml:space="preserve"> Time!Q$51</f>
        <v>0</v>
      </c>
      <c r="R229" s="98">
        <f xml:space="preserve"> Time!R$51</f>
        <v>0</v>
      </c>
      <c r="S229" s="98">
        <f xml:space="preserve"> Time!S$51</f>
        <v>0</v>
      </c>
      <c r="T229" s="98">
        <f xml:space="preserve"> Time!T$51</f>
        <v>1</v>
      </c>
      <c r="U229" s="98">
        <f xml:space="preserve"> Time!U$51</f>
        <v>0</v>
      </c>
      <c r="V229" s="98">
        <f xml:space="preserve"> Time!V$51</f>
        <v>0</v>
      </c>
      <c r="W229" s="98">
        <f xml:space="preserve"> Time!W$51</f>
        <v>0</v>
      </c>
    </row>
    <row r="230" spans="1:23" ht="12.75" customHeight="1" outlineLevel="1">
      <c r="A230" s="63"/>
      <c r="C230" s="110"/>
      <c r="E230" s="74" t="s">
        <v>363</v>
      </c>
      <c r="G230" s="57" t="s">
        <v>97</v>
      </c>
      <c r="H230" s="94">
        <f xml:space="preserve"> SUM(J230:W230)</f>
        <v>22.754303872695345</v>
      </c>
      <c r="J230" s="94">
        <f t="shared" ref="J230:W230" si="85" xml:space="preserve"> IF(J229 = 1, I228 * J227 * (1 + $F226), 0)</f>
        <v>0</v>
      </c>
      <c r="K230" s="94">
        <f t="shared" si="85"/>
        <v>0</v>
      </c>
      <c r="L230" s="94">
        <f t="shared" si="85"/>
        <v>0</v>
      </c>
      <c r="M230" s="94">
        <f t="shared" si="85"/>
        <v>0</v>
      </c>
      <c r="N230" s="94">
        <f t="shared" si="85"/>
        <v>0</v>
      </c>
      <c r="O230" s="94">
        <f t="shared" si="85"/>
        <v>0</v>
      </c>
      <c r="P230" s="94">
        <f t="shared" si="85"/>
        <v>0</v>
      </c>
      <c r="Q230" s="94">
        <f t="shared" si="85"/>
        <v>0</v>
      </c>
      <c r="R230" s="94">
        <f t="shared" si="85"/>
        <v>0</v>
      </c>
      <c r="S230" s="94">
        <f t="shared" si="85"/>
        <v>0</v>
      </c>
      <c r="T230" s="94">
        <f t="shared" si="85"/>
        <v>22.754303872695345</v>
      </c>
      <c r="U230" s="94">
        <f t="shared" si="85"/>
        <v>0</v>
      </c>
      <c r="V230" s="94">
        <f t="shared" si="85"/>
        <v>0</v>
      </c>
      <c r="W230" s="94">
        <f t="shared" si="85"/>
        <v>0</v>
      </c>
    </row>
    <row r="231" spans="1:23" ht="12.75" customHeight="1" outlineLevel="1">
      <c r="A231" s="63"/>
      <c r="C231" s="110"/>
      <c r="E231" s="74"/>
      <c r="H231" s="94"/>
      <c r="J231" s="94"/>
      <c r="K231" s="94"/>
      <c r="L231" s="94"/>
      <c r="M231" s="94"/>
      <c r="N231" s="94"/>
      <c r="O231" s="94"/>
      <c r="P231" s="94"/>
      <c r="Q231" s="94"/>
      <c r="R231" s="94"/>
      <c r="S231" s="94"/>
      <c r="T231" s="94"/>
      <c r="U231" s="94"/>
      <c r="V231" s="94"/>
      <c r="W231" s="94"/>
    </row>
    <row r="232" spans="1:23" ht="12.75" customHeight="1" outlineLevel="1">
      <c r="A232" s="63"/>
      <c r="C232" s="110"/>
      <c r="E232" s="36" t="str">
        <f xml:space="preserve"> Inputs!E$63</f>
        <v>Discount rate</v>
      </c>
      <c r="F232" s="36">
        <f xml:space="preserve"> Inputs!F$63</f>
        <v>2.92E-2</v>
      </c>
      <c r="G232" s="36" t="str">
        <f xml:space="preserve"> Inputs!G$63</f>
        <v>%</v>
      </c>
      <c r="H232" s="36">
        <f xml:space="preserve"> Inputs!H$63</f>
        <v>0</v>
      </c>
      <c r="I232" s="36">
        <f xml:space="preserve"> Inputs!I$63</f>
        <v>0</v>
      </c>
      <c r="J232" s="36">
        <f xml:space="preserve"> Inputs!J$63</f>
        <v>0</v>
      </c>
      <c r="K232" s="36">
        <f xml:space="preserve"> Inputs!K$63</f>
        <v>0</v>
      </c>
      <c r="L232" s="36">
        <f xml:space="preserve"> Inputs!L$63</f>
        <v>0</v>
      </c>
      <c r="M232" s="36">
        <f xml:space="preserve"> Inputs!M$63</f>
        <v>0</v>
      </c>
      <c r="N232" s="36">
        <f xml:space="preserve"> Inputs!N$63</f>
        <v>0</v>
      </c>
      <c r="O232" s="36">
        <f xml:space="preserve"> Inputs!O$63</f>
        <v>0</v>
      </c>
      <c r="P232" s="36">
        <f xml:space="preserve"> Inputs!P$63</f>
        <v>0</v>
      </c>
      <c r="Q232" s="36">
        <f xml:space="preserve"> Inputs!Q$63</f>
        <v>0</v>
      </c>
      <c r="R232" s="36">
        <f xml:space="preserve"> Inputs!R$63</f>
        <v>0</v>
      </c>
      <c r="S232" s="36">
        <f xml:space="preserve"> Inputs!S$63</f>
        <v>0</v>
      </c>
      <c r="T232" s="36">
        <f xml:space="preserve"> Inputs!T$63</f>
        <v>0</v>
      </c>
      <c r="U232" s="36">
        <f xml:space="preserve"> Inputs!U$63</f>
        <v>0</v>
      </c>
      <c r="V232" s="36">
        <f xml:space="preserve"> Inputs!V$63</f>
        <v>0</v>
      </c>
      <c r="W232" s="36">
        <f xml:space="preserve"> Inputs!W$63</f>
        <v>0</v>
      </c>
    </row>
    <row r="233" spans="1:23" ht="12.75" customHeight="1" outlineLevel="1">
      <c r="A233" s="63"/>
      <c r="C233" s="110"/>
      <c r="E233" s="36" t="str">
        <f xml:space="preserve"> 'Indices and K factor'!E$11</f>
        <v>CPIH: Nov % increase (prior year) - CALC</v>
      </c>
      <c r="F233" s="36">
        <f xml:space="preserve"> 'Indices and K factor'!F$11</f>
        <v>0</v>
      </c>
      <c r="G233" s="36" t="str">
        <f xml:space="preserve"> 'Indices and K factor'!G$11</f>
        <v>%</v>
      </c>
      <c r="H233" s="36">
        <f xml:space="preserve"> 'Indices and K factor'!H$11</f>
        <v>0</v>
      </c>
      <c r="I233" s="36">
        <f xml:space="preserve"> 'Indices and K factor'!I$11</f>
        <v>0</v>
      </c>
      <c r="J233" s="36">
        <f xml:space="preserve"> 'Indices and K factor'!J$11</f>
        <v>0</v>
      </c>
      <c r="K233" s="36">
        <f xml:space="preserve"> 'Indices and K factor'!K$11</f>
        <v>0</v>
      </c>
      <c r="L233" s="36">
        <f xml:space="preserve"> 'Indices and K factor'!L$11</f>
        <v>1.0040040040040039</v>
      </c>
      <c r="M233" s="36">
        <f xml:space="preserve"> 'Indices and K factor'!M$11</f>
        <v>1.0149551345962113</v>
      </c>
      <c r="N233" s="36">
        <f xml:space="preserve"> 'Indices and K factor'!N$11</f>
        <v>1.0284872298624754</v>
      </c>
      <c r="O233" s="36">
        <f xml:space="preserve"> 'Indices and K factor'!O$11</f>
        <v>1.0210124164278893</v>
      </c>
      <c r="P233" s="36">
        <f xml:space="preserve"> 'Indices and K factor'!P$11</f>
        <v>1.0149672591206735</v>
      </c>
      <c r="Q233" s="36">
        <f xml:space="preserve"> 'Indices and K factor'!Q$11</f>
        <v>1.0055299539170506</v>
      </c>
      <c r="R233" s="36">
        <f xml:space="preserve"> 'Indices and K factor'!R$11</f>
        <v>1.0458295142071494</v>
      </c>
      <c r="S233" s="36">
        <f xml:space="preserve"> 'Indices and K factor'!S$11</f>
        <v>1.0937773882559159</v>
      </c>
      <c r="T233" s="36">
        <f xml:space="preserve"> 'Indices and K factor'!T$11</f>
        <v>1.042059294871795</v>
      </c>
      <c r="U233" s="36">
        <f xml:space="preserve"> 'Indices and K factor'!U$11</f>
        <v>1.0312779542070039</v>
      </c>
      <c r="V233" s="36">
        <f xml:space="preserve"> 'Indices and K factor'!V$11</f>
        <v>1.02</v>
      </c>
      <c r="W233" s="36">
        <f xml:space="preserve"> 'Indices and K factor'!W$11</f>
        <v>1.02</v>
      </c>
    </row>
    <row r="234" spans="1:23" ht="12.75" customHeight="1" outlineLevel="1">
      <c r="A234" s="63"/>
      <c r="C234" s="110"/>
      <c r="E234" s="169" t="str">
        <f t="shared" ref="E234:W234" si="86" xml:space="preserve"> E$224</f>
        <v>Penalty adjustment - Water-N+</v>
      </c>
      <c r="F234" s="169">
        <f t="shared" si="86"/>
        <v>0</v>
      </c>
      <c r="G234" s="169" t="str">
        <f t="shared" si="86"/>
        <v>£m</v>
      </c>
      <c r="H234" s="169">
        <f t="shared" si="86"/>
        <v>-1.7814151354534071</v>
      </c>
      <c r="I234" s="169">
        <f t="shared" si="86"/>
        <v>0</v>
      </c>
      <c r="J234" s="94">
        <f t="shared" si="86"/>
        <v>0</v>
      </c>
      <c r="K234" s="94">
        <f t="shared" si="86"/>
        <v>0</v>
      </c>
      <c r="L234" s="94">
        <f t="shared" si="86"/>
        <v>0</v>
      </c>
      <c r="M234" s="94">
        <f t="shared" si="86"/>
        <v>0</v>
      </c>
      <c r="N234" s="94">
        <f t="shared" si="86"/>
        <v>0</v>
      </c>
      <c r="O234" s="94">
        <f t="shared" si="86"/>
        <v>0</v>
      </c>
      <c r="P234" s="94">
        <f t="shared" si="86"/>
        <v>-1.6310168932258232E-2</v>
      </c>
      <c r="Q234" s="94">
        <f t="shared" si="86"/>
        <v>-1.004381690102593</v>
      </c>
      <c r="R234" s="94">
        <f t="shared" si="86"/>
        <v>-0.76072327641855586</v>
      </c>
      <c r="S234" s="94">
        <f t="shared" si="86"/>
        <v>0</v>
      </c>
      <c r="T234" s="94">
        <f t="shared" si="86"/>
        <v>0</v>
      </c>
      <c r="U234" s="94">
        <f t="shared" si="86"/>
        <v>0</v>
      </c>
      <c r="V234" s="94">
        <f t="shared" si="86"/>
        <v>0</v>
      </c>
      <c r="W234" s="94">
        <f t="shared" si="86"/>
        <v>0</v>
      </c>
    </row>
    <row r="235" spans="1:23" ht="12.75" customHeight="1" outlineLevel="1">
      <c r="A235" s="63"/>
      <c r="C235" s="110"/>
      <c r="E235" s="98" t="str">
        <f xml:space="preserve"> Time!E$51</f>
        <v>Forecast end period flag</v>
      </c>
      <c r="F235" s="98">
        <f xml:space="preserve"> Time!F$51</f>
        <v>0</v>
      </c>
      <c r="G235" s="98" t="str">
        <f xml:space="preserve"> Time!G$51</f>
        <v>flag</v>
      </c>
      <c r="H235" s="98">
        <f xml:space="preserve"> Time!H$51</f>
        <v>1</v>
      </c>
      <c r="I235" s="98">
        <f xml:space="preserve"> Time!I$51</f>
        <v>0</v>
      </c>
      <c r="J235" s="98">
        <f xml:space="preserve"> Time!J$51</f>
        <v>0</v>
      </c>
      <c r="K235" s="98">
        <f xml:space="preserve"> Time!K$51</f>
        <v>0</v>
      </c>
      <c r="L235" s="98">
        <f xml:space="preserve"> Time!L$51</f>
        <v>0</v>
      </c>
      <c r="M235" s="98">
        <f xml:space="preserve"> Time!M$51</f>
        <v>0</v>
      </c>
      <c r="N235" s="98">
        <f xml:space="preserve"> Time!N$51</f>
        <v>0</v>
      </c>
      <c r="O235" s="98">
        <f xml:space="preserve"> Time!O$51</f>
        <v>0</v>
      </c>
      <c r="P235" s="98">
        <f xml:space="preserve"> Time!P$51</f>
        <v>0</v>
      </c>
      <c r="Q235" s="98">
        <f xml:space="preserve"> Time!Q$51</f>
        <v>0</v>
      </c>
      <c r="R235" s="98">
        <f xml:space="preserve"> Time!R$51</f>
        <v>0</v>
      </c>
      <c r="S235" s="98">
        <f xml:space="preserve"> Time!S$51</f>
        <v>0</v>
      </c>
      <c r="T235" s="98">
        <f xml:space="preserve"> Time!T$51</f>
        <v>1</v>
      </c>
      <c r="U235" s="98">
        <f xml:space="preserve"> Time!U$51</f>
        <v>0</v>
      </c>
      <c r="V235" s="98">
        <f xml:space="preserve"> Time!V$51</f>
        <v>0</v>
      </c>
      <c r="W235" s="98">
        <f xml:space="preserve"> Time!W$51</f>
        <v>0</v>
      </c>
    </row>
    <row r="236" spans="1:23" ht="12.75" customHeight="1" outlineLevel="1">
      <c r="A236" s="63"/>
      <c r="C236" s="110"/>
      <c r="E236" s="129" t="s">
        <v>364</v>
      </c>
      <c r="G236" s="57" t="s">
        <v>97</v>
      </c>
      <c r="H236" s="94">
        <f xml:space="preserve"> SUM(J236:W236)</f>
        <v>0</v>
      </c>
      <c r="J236" s="201">
        <f xml:space="preserve"> J235 * ( I234 * J233 * (1 + $F232) )</f>
        <v>0</v>
      </c>
      <c r="K236" s="201">
        <f t="shared" ref="K236:W236" si="87" xml:space="preserve"> K235 * ( J234 * K233 * (1 + $F232) )</f>
        <v>0</v>
      </c>
      <c r="L236" s="201">
        <f t="shared" si="87"/>
        <v>0</v>
      </c>
      <c r="M236" s="201">
        <f t="shared" si="87"/>
        <v>0</v>
      </c>
      <c r="N236" s="201">
        <f t="shared" si="87"/>
        <v>0</v>
      </c>
      <c r="O236" s="201">
        <f t="shared" si="87"/>
        <v>0</v>
      </c>
      <c r="P236" s="201">
        <f t="shared" si="87"/>
        <v>0</v>
      </c>
      <c r="Q236" s="201">
        <f t="shared" si="87"/>
        <v>0</v>
      </c>
      <c r="R236" s="201">
        <f t="shared" si="87"/>
        <v>0</v>
      </c>
      <c r="S236" s="201">
        <f t="shared" si="87"/>
        <v>0</v>
      </c>
      <c r="T236" s="201">
        <f t="shared" si="87"/>
        <v>0</v>
      </c>
      <c r="U236" s="201">
        <f t="shared" si="87"/>
        <v>0</v>
      </c>
      <c r="V236" s="201">
        <f t="shared" si="87"/>
        <v>0</v>
      </c>
      <c r="W236" s="201">
        <f t="shared" si="87"/>
        <v>0</v>
      </c>
    </row>
    <row r="237" spans="1:23" ht="12.75" customHeight="1" outlineLevel="1">
      <c r="A237" s="63"/>
      <c r="C237" s="110"/>
      <c r="E237" s="98"/>
      <c r="F237" s="98"/>
      <c r="G237" s="98"/>
      <c r="H237" s="98"/>
      <c r="I237" s="98"/>
      <c r="J237" s="98"/>
      <c r="K237" s="98"/>
      <c r="L237" s="98"/>
      <c r="M237" s="98"/>
      <c r="N237" s="98"/>
      <c r="O237" s="98"/>
      <c r="P237" s="98"/>
      <c r="Q237" s="98"/>
      <c r="R237" s="98"/>
      <c r="S237" s="98"/>
      <c r="T237" s="98"/>
      <c r="U237" s="98"/>
      <c r="V237" s="98"/>
      <c r="W237" s="98"/>
    </row>
    <row r="238" spans="1:23" ht="12.75" customHeight="1" outlineLevel="1">
      <c r="A238" s="63"/>
      <c r="C238" s="110"/>
      <c r="E238" s="101" t="str">
        <f t="shared" ref="E238:W238" si="88" xml:space="preserve"> E$230</f>
        <v>Value of year 4 main revenue adjustment at the end of AMP7 - Water-N+</v>
      </c>
      <c r="F238" s="57">
        <f t="shared" si="88"/>
        <v>0</v>
      </c>
      <c r="G238" s="57" t="str">
        <f t="shared" si="88"/>
        <v>£m</v>
      </c>
      <c r="H238" s="94">
        <f t="shared" si="88"/>
        <v>22.754303872695345</v>
      </c>
      <c r="I238" s="57">
        <f t="shared" si="88"/>
        <v>0</v>
      </c>
      <c r="J238" s="322">
        <f t="shared" si="88"/>
        <v>0</v>
      </c>
      <c r="K238" s="322">
        <f t="shared" si="88"/>
        <v>0</v>
      </c>
      <c r="L238" s="322">
        <f t="shared" si="88"/>
        <v>0</v>
      </c>
      <c r="M238" s="322">
        <f t="shared" si="88"/>
        <v>0</v>
      </c>
      <c r="N238" s="322">
        <f t="shared" si="88"/>
        <v>0</v>
      </c>
      <c r="O238" s="322">
        <f t="shared" si="88"/>
        <v>0</v>
      </c>
      <c r="P238" s="322">
        <f t="shared" si="88"/>
        <v>0</v>
      </c>
      <c r="Q238" s="322">
        <f t="shared" si="88"/>
        <v>0</v>
      </c>
      <c r="R238" s="322">
        <f t="shared" si="88"/>
        <v>0</v>
      </c>
      <c r="S238" s="322">
        <f t="shared" si="88"/>
        <v>0</v>
      </c>
      <c r="T238" s="322">
        <f t="shared" si="88"/>
        <v>22.754303872695345</v>
      </c>
      <c r="U238" s="322">
        <f t="shared" si="88"/>
        <v>0</v>
      </c>
      <c r="V238" s="322">
        <f t="shared" si="88"/>
        <v>0</v>
      </c>
      <c r="W238" s="322">
        <f t="shared" si="88"/>
        <v>0</v>
      </c>
    </row>
    <row r="239" spans="1:23" ht="12.75" customHeight="1" outlineLevel="1">
      <c r="A239" s="63"/>
      <c r="C239" s="110"/>
      <c r="E239" s="101" t="str">
        <f t="shared" ref="E239:W239" si="89" xml:space="preserve"> E$236</f>
        <v>Value of year 4 penalty adjustment at the end of AMP7 - Water-N+</v>
      </c>
      <c r="F239" s="57">
        <f t="shared" si="89"/>
        <v>0</v>
      </c>
      <c r="G239" s="57" t="str">
        <f t="shared" si="89"/>
        <v>£m</v>
      </c>
      <c r="H239" s="94">
        <f t="shared" si="89"/>
        <v>0</v>
      </c>
      <c r="I239" s="57">
        <f t="shared" si="89"/>
        <v>0</v>
      </c>
      <c r="J239" s="201">
        <f t="shared" si="89"/>
        <v>0</v>
      </c>
      <c r="K239" s="201">
        <f t="shared" si="89"/>
        <v>0</v>
      </c>
      <c r="L239" s="201">
        <f t="shared" si="89"/>
        <v>0</v>
      </c>
      <c r="M239" s="201">
        <f t="shared" si="89"/>
        <v>0</v>
      </c>
      <c r="N239" s="201">
        <f t="shared" si="89"/>
        <v>0</v>
      </c>
      <c r="O239" s="201">
        <f t="shared" si="89"/>
        <v>0</v>
      </c>
      <c r="P239" s="201">
        <f t="shared" si="89"/>
        <v>0</v>
      </c>
      <c r="Q239" s="201">
        <f t="shared" si="89"/>
        <v>0</v>
      </c>
      <c r="R239" s="201">
        <f t="shared" si="89"/>
        <v>0</v>
      </c>
      <c r="S239" s="201">
        <f t="shared" si="89"/>
        <v>0</v>
      </c>
      <c r="T239" s="201">
        <f t="shared" si="89"/>
        <v>0</v>
      </c>
      <c r="U239" s="201">
        <f t="shared" si="89"/>
        <v>0</v>
      </c>
      <c r="V239" s="201">
        <f t="shared" si="89"/>
        <v>0</v>
      </c>
      <c r="W239" s="201">
        <f t="shared" si="89"/>
        <v>0</v>
      </c>
    </row>
    <row r="240" spans="1:23" s="6" customFormat="1" ht="12.75" customHeight="1" outlineLevel="1" thickBot="1">
      <c r="A240" s="64"/>
      <c r="B240" s="64"/>
      <c r="C240" s="62"/>
      <c r="D240" s="159"/>
      <c r="E240" s="287" t="s">
        <v>365</v>
      </c>
      <c r="F240" s="287"/>
      <c r="G240" s="287" t="s">
        <v>97</v>
      </c>
      <c r="H240" s="287">
        <f xml:space="preserve"> SUM(J240:W240)</f>
        <v>22.754303872695345</v>
      </c>
      <c r="I240" s="287"/>
      <c r="J240" s="287">
        <f xml:space="preserve"> J238 + J239</f>
        <v>0</v>
      </c>
      <c r="K240" s="287">
        <f t="shared" ref="K240:W240" si="90" xml:space="preserve"> K238 + K239</f>
        <v>0</v>
      </c>
      <c r="L240" s="287">
        <f t="shared" si="90"/>
        <v>0</v>
      </c>
      <c r="M240" s="287">
        <f t="shared" si="90"/>
        <v>0</v>
      </c>
      <c r="N240" s="287">
        <f t="shared" si="90"/>
        <v>0</v>
      </c>
      <c r="O240" s="287">
        <f t="shared" si="90"/>
        <v>0</v>
      </c>
      <c r="P240" s="287">
        <f t="shared" si="90"/>
        <v>0</v>
      </c>
      <c r="Q240" s="287">
        <f t="shared" si="90"/>
        <v>0</v>
      </c>
      <c r="R240" s="287">
        <f t="shared" si="90"/>
        <v>0</v>
      </c>
      <c r="S240" s="287">
        <f t="shared" si="90"/>
        <v>0</v>
      </c>
      <c r="T240" s="287">
        <f t="shared" si="90"/>
        <v>22.754303872695345</v>
      </c>
      <c r="U240" s="287">
        <f t="shared" si="90"/>
        <v>0</v>
      </c>
      <c r="V240" s="287">
        <f t="shared" si="90"/>
        <v>0</v>
      </c>
      <c r="W240" s="287">
        <f t="shared" si="90"/>
        <v>0</v>
      </c>
    </row>
    <row r="241" spans="1:23" s="260" customFormat="1" ht="12.75" customHeight="1" outlineLevel="1" thickTop="1">
      <c r="A241" s="254"/>
      <c r="B241" s="254"/>
      <c r="C241" s="255"/>
      <c r="D241" s="256"/>
      <c r="E241" s="251"/>
      <c r="F241" s="257"/>
      <c r="G241" s="257"/>
      <c r="H241" s="258"/>
      <c r="I241" s="257"/>
      <c r="J241" s="258"/>
      <c r="K241" s="258"/>
      <c r="L241" s="258"/>
      <c r="M241" s="258"/>
      <c r="N241" s="258"/>
      <c r="O241" s="258"/>
      <c r="P241" s="258"/>
      <c r="Q241" s="258"/>
      <c r="R241" s="258"/>
      <c r="S241" s="258"/>
      <c r="T241" s="258"/>
      <c r="U241" s="258"/>
      <c r="V241" s="258"/>
      <c r="W241" s="258"/>
    </row>
    <row r="242" spans="1:23" ht="12.75" customHeight="1" outlineLevel="1">
      <c r="A242" s="63"/>
      <c r="B242" s="63" t="s">
        <v>366</v>
      </c>
      <c r="C242" s="110"/>
      <c r="E242" s="74"/>
    </row>
    <row r="243" spans="1:23" ht="12.75" customHeight="1" outlineLevel="1">
      <c r="A243" s="63"/>
      <c r="C243" s="110"/>
      <c r="E243" s="74"/>
    </row>
    <row r="244" spans="1:23" ht="12.75" customHeight="1" outlineLevel="1">
      <c r="A244" s="63"/>
      <c r="C244" s="110"/>
      <c r="E244" s="206" t="str">
        <f t="shared" ref="E244:W244" si="91" xml:space="preserve"> E$163</f>
        <v>Penalty adjustment - Wholesale Water</v>
      </c>
      <c r="F244" s="206">
        <f t="shared" si="91"/>
        <v>0</v>
      </c>
      <c r="G244" s="206" t="str">
        <f t="shared" si="91"/>
        <v>£m</v>
      </c>
      <c r="H244" s="206">
        <f t="shared" si="91"/>
        <v>-36.996349776260104</v>
      </c>
      <c r="I244" s="206">
        <f t="shared" si="91"/>
        <v>0</v>
      </c>
      <c r="J244" s="206">
        <f t="shared" si="91"/>
        <v>0</v>
      </c>
      <c r="K244" s="206">
        <f t="shared" si="91"/>
        <v>0</v>
      </c>
      <c r="L244" s="206">
        <f t="shared" si="91"/>
        <v>0</v>
      </c>
      <c r="M244" s="206">
        <f t="shared" si="91"/>
        <v>0</v>
      </c>
      <c r="N244" s="206">
        <f t="shared" si="91"/>
        <v>0</v>
      </c>
      <c r="O244" s="206">
        <f t="shared" si="91"/>
        <v>0</v>
      </c>
      <c r="P244" s="206">
        <f t="shared" si="91"/>
        <v>-1.6310168932258232E-2</v>
      </c>
      <c r="Q244" s="206">
        <f t="shared" si="91"/>
        <v>-1.004381690102593</v>
      </c>
      <c r="R244" s="206">
        <f t="shared" si="91"/>
        <v>-0.76072327641855586</v>
      </c>
      <c r="S244" s="206">
        <f t="shared" si="91"/>
        <v>0</v>
      </c>
      <c r="T244" s="206">
        <f t="shared" si="91"/>
        <v>-35.214934640806696</v>
      </c>
      <c r="U244" s="206">
        <f t="shared" si="91"/>
        <v>0</v>
      </c>
      <c r="V244" s="206">
        <f t="shared" si="91"/>
        <v>0</v>
      </c>
      <c r="W244" s="206">
        <f t="shared" si="91"/>
        <v>0</v>
      </c>
    </row>
    <row r="245" spans="1:23" ht="12.75" customHeight="1" outlineLevel="1">
      <c r="A245" s="63"/>
      <c r="C245" s="110"/>
      <c r="E245" s="206" t="str">
        <f xml:space="preserve"> E$186</f>
        <v>Proportion of penalty allocated to Water Res</v>
      </c>
      <c r="F245" s="206">
        <f t="shared" ref="F245:W245" si="92" xml:space="preserve"> F$186</f>
        <v>0</v>
      </c>
      <c r="G245" s="206" t="str">
        <f t="shared" si="92"/>
        <v>%</v>
      </c>
      <c r="H245" s="206">
        <f t="shared" si="92"/>
        <v>0</v>
      </c>
      <c r="I245" s="206">
        <f t="shared" si="92"/>
        <v>0</v>
      </c>
      <c r="J245" s="39">
        <f t="shared" si="92"/>
        <v>0</v>
      </c>
      <c r="K245" s="39">
        <f t="shared" si="92"/>
        <v>0</v>
      </c>
      <c r="L245" s="39">
        <f t="shared" si="92"/>
        <v>0</v>
      </c>
      <c r="M245" s="39">
        <f t="shared" si="92"/>
        <v>0</v>
      </c>
      <c r="N245" s="39">
        <f t="shared" si="92"/>
        <v>0</v>
      </c>
      <c r="O245" s="39">
        <f t="shared" si="92"/>
        <v>0</v>
      </c>
      <c r="P245" s="39">
        <f t="shared" si="92"/>
        <v>0</v>
      </c>
      <c r="Q245" s="39">
        <f t="shared" si="92"/>
        <v>0</v>
      </c>
      <c r="R245" s="39">
        <f t="shared" si="92"/>
        <v>0</v>
      </c>
      <c r="S245" s="39">
        <f t="shared" si="92"/>
        <v>0</v>
      </c>
      <c r="T245" s="39">
        <f t="shared" si="92"/>
        <v>1</v>
      </c>
      <c r="U245" s="39">
        <f t="shared" si="92"/>
        <v>0</v>
      </c>
      <c r="V245" s="39">
        <f t="shared" si="92"/>
        <v>0</v>
      </c>
      <c r="W245" s="39">
        <f t="shared" si="92"/>
        <v>0</v>
      </c>
    </row>
    <row r="246" spans="1:23" ht="12.75" customHeight="1" outlineLevel="1">
      <c r="A246" s="63"/>
      <c r="C246" s="110"/>
      <c r="E246" s="206" t="s">
        <v>367</v>
      </c>
      <c r="F246" s="206"/>
      <c r="G246" s="206" t="s">
        <v>97</v>
      </c>
      <c r="H246" s="206"/>
      <c r="I246" s="206"/>
      <c r="J246" s="44">
        <f xml:space="preserve"> J244 * J245</f>
        <v>0</v>
      </c>
      <c r="K246" s="44">
        <f t="shared" ref="K246:S246" si="93" xml:space="preserve"> K244 * K245</f>
        <v>0</v>
      </c>
      <c r="L246" s="44">
        <f t="shared" si="93"/>
        <v>0</v>
      </c>
      <c r="M246" s="44">
        <f t="shared" si="93"/>
        <v>0</v>
      </c>
      <c r="N246" s="44">
        <f t="shared" si="93"/>
        <v>0</v>
      </c>
      <c r="O246" s="44">
        <f t="shared" si="93"/>
        <v>0</v>
      </c>
      <c r="P246" s="44">
        <f t="shared" si="93"/>
        <v>0</v>
      </c>
      <c r="Q246" s="44">
        <f t="shared" si="93"/>
        <v>0</v>
      </c>
      <c r="R246" s="44">
        <f t="shared" si="93"/>
        <v>0</v>
      </c>
      <c r="S246" s="44">
        <f t="shared" si="93"/>
        <v>0</v>
      </c>
      <c r="T246" s="44">
        <f xml:space="preserve"> T244 * T245</f>
        <v>-35.214934640806696</v>
      </c>
      <c r="U246" s="44">
        <f xml:space="preserve"> U244 * U245</f>
        <v>0</v>
      </c>
      <c r="V246" s="44">
        <f xml:space="preserve"> V244 * V245</f>
        <v>0</v>
      </c>
      <c r="W246" s="44">
        <f xml:space="preserve"> W244 * W245</f>
        <v>0</v>
      </c>
    </row>
    <row r="247" spans="1:23" ht="12.75" customHeight="1" outlineLevel="1">
      <c r="A247" s="63"/>
      <c r="C247" s="110"/>
      <c r="E247" s="206"/>
      <c r="F247" s="206"/>
      <c r="G247" s="206"/>
      <c r="H247" s="206"/>
      <c r="I247" s="206"/>
      <c r="J247" s="44"/>
      <c r="K247" s="44"/>
      <c r="L247" s="44"/>
      <c r="M247" s="44"/>
      <c r="N247" s="44"/>
      <c r="O247" s="44"/>
      <c r="P247" s="44"/>
      <c r="Q247" s="44"/>
      <c r="R247" s="44"/>
      <c r="S247" s="44"/>
      <c r="T247" s="44"/>
      <c r="U247" s="44"/>
      <c r="V247" s="44"/>
      <c r="W247" s="44"/>
    </row>
    <row r="248" spans="1:23" ht="12.75" customHeight="1" outlineLevel="1">
      <c r="E248" s="36" t="str">
        <f xml:space="preserve"> Inputs!E$63</f>
        <v>Discount rate</v>
      </c>
      <c r="F248" s="36">
        <f xml:space="preserve"> Inputs!F$63</f>
        <v>2.92E-2</v>
      </c>
      <c r="G248" s="36" t="str">
        <f xml:space="preserve"> Inputs!G$63</f>
        <v>%</v>
      </c>
      <c r="H248" s="36">
        <f xml:space="preserve"> Inputs!H$63</f>
        <v>0</v>
      </c>
      <c r="I248" s="36">
        <f xml:space="preserve"> Inputs!I$63</f>
        <v>0</v>
      </c>
      <c r="J248" s="36">
        <f xml:space="preserve"> Inputs!J$63</f>
        <v>0</v>
      </c>
      <c r="K248" s="36">
        <f xml:space="preserve"> Inputs!K$63</f>
        <v>0</v>
      </c>
      <c r="L248" s="36">
        <f xml:space="preserve"> Inputs!L$63</f>
        <v>0</v>
      </c>
      <c r="M248" s="36">
        <f xml:space="preserve"> Inputs!M$63</f>
        <v>0</v>
      </c>
      <c r="N248" s="36">
        <f xml:space="preserve"> Inputs!N$63</f>
        <v>0</v>
      </c>
      <c r="O248" s="36">
        <f xml:space="preserve"> Inputs!O$63</f>
        <v>0</v>
      </c>
      <c r="P248" s="36">
        <f xml:space="preserve"> Inputs!P$63</f>
        <v>0</v>
      </c>
      <c r="Q248" s="36">
        <f xml:space="preserve"> Inputs!Q$63</f>
        <v>0</v>
      </c>
      <c r="R248" s="36">
        <f xml:space="preserve"> Inputs!R$63</f>
        <v>0</v>
      </c>
      <c r="S248" s="36">
        <f xml:space="preserve"> Inputs!S$63</f>
        <v>0</v>
      </c>
      <c r="T248" s="36">
        <f xml:space="preserve"> Inputs!T$63</f>
        <v>0</v>
      </c>
      <c r="U248" s="36">
        <f xml:space="preserve"> Inputs!U$63</f>
        <v>0</v>
      </c>
      <c r="V248" s="36">
        <f xml:space="preserve"> Inputs!V$63</f>
        <v>0</v>
      </c>
      <c r="W248" s="36">
        <f xml:space="preserve"> Inputs!W$63</f>
        <v>0</v>
      </c>
    </row>
    <row r="249" spans="1:23" ht="12.75" customHeight="1" outlineLevel="1">
      <c r="A249" s="63"/>
      <c r="C249" s="110"/>
      <c r="E249" s="36" t="str">
        <f xml:space="preserve"> 'Indices and K factor'!E$11</f>
        <v>CPIH: Nov % increase (prior year) - CALC</v>
      </c>
      <c r="F249" s="36">
        <f xml:space="preserve"> 'Indices and K factor'!F$11</f>
        <v>0</v>
      </c>
      <c r="G249" s="36" t="str">
        <f xml:space="preserve"> 'Indices and K factor'!G$11</f>
        <v>%</v>
      </c>
      <c r="H249" s="36">
        <f xml:space="preserve"> 'Indices and K factor'!H$11</f>
        <v>0</v>
      </c>
      <c r="I249" s="36">
        <f xml:space="preserve"> 'Indices and K factor'!I$11</f>
        <v>0</v>
      </c>
      <c r="J249" s="36">
        <f xml:space="preserve"> 'Indices and K factor'!J$11</f>
        <v>0</v>
      </c>
      <c r="K249" s="36">
        <f xml:space="preserve"> 'Indices and K factor'!K$11</f>
        <v>0</v>
      </c>
      <c r="L249" s="36">
        <f xml:space="preserve"> 'Indices and K factor'!L$11</f>
        <v>1.0040040040040039</v>
      </c>
      <c r="M249" s="36">
        <f xml:space="preserve"> 'Indices and K factor'!M$11</f>
        <v>1.0149551345962113</v>
      </c>
      <c r="N249" s="36">
        <f xml:space="preserve"> 'Indices and K factor'!N$11</f>
        <v>1.0284872298624754</v>
      </c>
      <c r="O249" s="36">
        <f xml:space="preserve"> 'Indices and K factor'!O$11</f>
        <v>1.0210124164278893</v>
      </c>
      <c r="P249" s="36">
        <f xml:space="preserve"> 'Indices and K factor'!P$11</f>
        <v>1.0149672591206735</v>
      </c>
      <c r="Q249" s="36">
        <f xml:space="preserve"> 'Indices and K factor'!Q$11</f>
        <v>1.0055299539170506</v>
      </c>
      <c r="R249" s="36">
        <f xml:space="preserve"> 'Indices and K factor'!R$11</f>
        <v>1.0458295142071494</v>
      </c>
      <c r="S249" s="36">
        <f xml:space="preserve"> 'Indices and K factor'!S$11</f>
        <v>1.0937773882559159</v>
      </c>
      <c r="T249" s="36">
        <f xml:space="preserve"> 'Indices and K factor'!T$11</f>
        <v>1.042059294871795</v>
      </c>
      <c r="U249" s="36">
        <f xml:space="preserve"> 'Indices and K factor'!U$11</f>
        <v>1.0312779542070039</v>
      </c>
      <c r="V249" s="36">
        <f xml:space="preserve"> 'Indices and K factor'!V$11</f>
        <v>1.02</v>
      </c>
      <c r="W249" s="36">
        <f xml:space="preserve"> 'Indices and K factor'!W$11</f>
        <v>1.02</v>
      </c>
    </row>
    <row r="250" spans="1:23" s="282" customFormat="1" ht="12.75" customHeight="1" outlineLevel="1">
      <c r="A250" s="183"/>
      <c r="B250" s="183"/>
      <c r="C250" s="184"/>
      <c r="D250" s="159"/>
      <c r="E250" s="211" t="str">
        <f xml:space="preserve"> E$95</f>
        <v>Revenue Imbalance - Water Res</v>
      </c>
      <c r="F250" s="211">
        <f t="shared" ref="F250:W250" si="94" xml:space="preserve"> F$95</f>
        <v>0</v>
      </c>
      <c r="G250" s="211" t="str">
        <f t="shared" si="94"/>
        <v>£m</v>
      </c>
      <c r="H250" s="233">
        <f t="shared" si="94"/>
        <v>121.14810826192262</v>
      </c>
      <c r="I250" s="233">
        <f t="shared" si="94"/>
        <v>0</v>
      </c>
      <c r="J250" s="233">
        <f t="shared" si="94"/>
        <v>0</v>
      </c>
      <c r="K250" s="233">
        <f t="shared" si="94"/>
        <v>0</v>
      </c>
      <c r="L250" s="233">
        <f t="shared" si="94"/>
        <v>0</v>
      </c>
      <c r="M250" s="233">
        <f t="shared" si="94"/>
        <v>0</v>
      </c>
      <c r="N250" s="233">
        <f t="shared" si="94"/>
        <v>0</v>
      </c>
      <c r="O250" s="233">
        <f t="shared" si="94"/>
        <v>0</v>
      </c>
      <c r="P250" s="233">
        <f t="shared" si="94"/>
        <v>1.2695887534549399</v>
      </c>
      <c r="Q250" s="233">
        <f t="shared" si="94"/>
        <v>2.5477836019555156</v>
      </c>
      <c r="R250" s="233">
        <f t="shared" si="94"/>
        <v>1.9778261869673628</v>
      </c>
      <c r="S250" s="233">
        <f t="shared" si="94"/>
        <v>-3.3475503385549956</v>
      </c>
      <c r="T250" s="233">
        <f t="shared" si="94"/>
        <v>118.70046005809979</v>
      </c>
      <c r="U250" s="233">
        <f t="shared" si="94"/>
        <v>0</v>
      </c>
      <c r="V250" s="233">
        <f t="shared" si="94"/>
        <v>0</v>
      </c>
      <c r="W250" s="233">
        <f t="shared" si="94"/>
        <v>0</v>
      </c>
    </row>
    <row r="251" spans="1:23" s="123" customFormat="1" ht="12.75" customHeight="1" outlineLevel="1">
      <c r="A251" s="166"/>
      <c r="B251" s="166"/>
      <c r="C251" s="167"/>
      <c r="D251" s="75"/>
      <c r="E251" s="93" t="str">
        <f t="shared" ref="E251:W251" si="95" xml:space="preserve"> E$218</f>
        <v>Bilateral entry adjustment (BEA)</v>
      </c>
      <c r="F251" s="93">
        <f t="shared" si="95"/>
        <v>0</v>
      </c>
      <c r="G251" s="93" t="str">
        <f t="shared" si="95"/>
        <v>£m</v>
      </c>
      <c r="H251" s="93">
        <f t="shared" si="95"/>
        <v>0</v>
      </c>
      <c r="I251" s="150">
        <f t="shared" si="95"/>
        <v>0</v>
      </c>
      <c r="J251" s="93">
        <f t="shared" si="95"/>
        <v>0</v>
      </c>
      <c r="K251" s="93">
        <f t="shared" si="95"/>
        <v>0</v>
      </c>
      <c r="L251" s="93">
        <f t="shared" si="95"/>
        <v>0</v>
      </c>
      <c r="M251" s="93">
        <f t="shared" si="95"/>
        <v>0</v>
      </c>
      <c r="N251" s="93">
        <f t="shared" si="95"/>
        <v>0</v>
      </c>
      <c r="O251" s="93">
        <f t="shared" si="95"/>
        <v>0</v>
      </c>
      <c r="P251" s="93">
        <f t="shared" si="95"/>
        <v>0</v>
      </c>
      <c r="Q251" s="93">
        <f t="shared" si="95"/>
        <v>0</v>
      </c>
      <c r="R251" s="93">
        <f t="shared" si="95"/>
        <v>0</v>
      </c>
      <c r="S251" s="93">
        <f t="shared" si="95"/>
        <v>0</v>
      </c>
      <c r="T251" s="93">
        <f t="shared" si="95"/>
        <v>0</v>
      </c>
      <c r="U251" s="93">
        <f t="shared" si="95"/>
        <v>0</v>
      </c>
      <c r="V251" s="93">
        <f t="shared" si="95"/>
        <v>0</v>
      </c>
      <c r="W251" s="93">
        <f t="shared" si="95"/>
        <v>0</v>
      </c>
    </row>
    <row r="252" spans="1:23" s="123" customFormat="1" ht="12.75" customHeight="1" outlineLevel="1">
      <c r="A252" s="166"/>
      <c r="B252" s="166"/>
      <c r="C252" s="167"/>
      <c r="D252" s="75"/>
      <c r="E252" s="98" t="str">
        <f xml:space="preserve"> Time!E$51</f>
        <v>Forecast end period flag</v>
      </c>
      <c r="F252" s="98">
        <f xml:space="preserve"> Time!F$51</f>
        <v>0</v>
      </c>
      <c r="G252" s="98" t="str">
        <f xml:space="preserve"> Time!G$51</f>
        <v>flag</v>
      </c>
      <c r="H252" s="98">
        <f xml:space="preserve"> Time!H$51</f>
        <v>1</v>
      </c>
      <c r="I252" s="98">
        <f xml:space="preserve"> Time!I$51</f>
        <v>0</v>
      </c>
      <c r="J252" s="98">
        <f xml:space="preserve"> Time!J$51</f>
        <v>0</v>
      </c>
      <c r="K252" s="98">
        <f xml:space="preserve"> Time!K$51</f>
        <v>0</v>
      </c>
      <c r="L252" s="98">
        <f xml:space="preserve"> Time!L$51</f>
        <v>0</v>
      </c>
      <c r="M252" s="98">
        <f xml:space="preserve"> Time!M$51</f>
        <v>0</v>
      </c>
      <c r="N252" s="98">
        <f xml:space="preserve"> Time!N$51</f>
        <v>0</v>
      </c>
      <c r="O252" s="98">
        <f xml:space="preserve"> Time!O$51</f>
        <v>0</v>
      </c>
      <c r="P252" s="98">
        <f xml:space="preserve"> Time!P$51</f>
        <v>0</v>
      </c>
      <c r="Q252" s="98">
        <f xml:space="preserve"> Time!Q$51</f>
        <v>0</v>
      </c>
      <c r="R252" s="98">
        <f xml:space="preserve"> Time!R$51</f>
        <v>0</v>
      </c>
      <c r="S252" s="98">
        <f xml:space="preserve"> Time!S$51</f>
        <v>0</v>
      </c>
      <c r="T252" s="98">
        <f xml:space="preserve"> Time!T$51</f>
        <v>1</v>
      </c>
      <c r="U252" s="98">
        <f xml:space="preserve"> Time!U$51</f>
        <v>0</v>
      </c>
      <c r="V252" s="98">
        <f xml:space="preserve"> Time!V$51</f>
        <v>0</v>
      </c>
      <c r="W252" s="98">
        <f xml:space="preserve"> Time!W$51</f>
        <v>0</v>
      </c>
    </row>
    <row r="253" spans="1:23" s="6" customFormat="1" ht="12.75" customHeight="1" outlineLevel="1">
      <c r="A253" s="64"/>
      <c r="B253" s="64"/>
      <c r="C253" s="62"/>
      <c r="D253" s="159"/>
      <c r="E253" s="129" t="s">
        <v>368</v>
      </c>
      <c r="F253" s="101"/>
      <c r="G253" s="101" t="s">
        <v>97</v>
      </c>
      <c r="H253" s="93">
        <f xml:space="preserve"> SUM(J253:W253)</f>
        <v>-3.5902056469464569</v>
      </c>
      <c r="I253" s="101"/>
      <c r="J253" s="93">
        <f t="shared" ref="J253:W253" si="96" xml:space="preserve"> IF(J252 = 1, ( I250 + I251 ) * J249 * ( 1 + $F248 ), 0)</f>
        <v>0</v>
      </c>
      <c r="K253" s="93">
        <f t="shared" si="96"/>
        <v>0</v>
      </c>
      <c r="L253" s="93">
        <f t="shared" si="96"/>
        <v>0</v>
      </c>
      <c r="M253" s="93">
        <f t="shared" si="96"/>
        <v>0</v>
      </c>
      <c r="N253" s="93">
        <f t="shared" si="96"/>
        <v>0</v>
      </c>
      <c r="O253" s="93">
        <f t="shared" si="96"/>
        <v>0</v>
      </c>
      <c r="P253" s="93">
        <f t="shared" si="96"/>
        <v>0</v>
      </c>
      <c r="Q253" s="93">
        <f t="shared" si="96"/>
        <v>0</v>
      </c>
      <c r="R253" s="93">
        <f t="shared" si="96"/>
        <v>0</v>
      </c>
      <c r="S253" s="93">
        <f t="shared" si="96"/>
        <v>0</v>
      </c>
      <c r="T253" s="93">
        <f t="shared" si="96"/>
        <v>-3.5902056469464569</v>
      </c>
      <c r="U253" s="93">
        <f t="shared" si="96"/>
        <v>0</v>
      </c>
      <c r="V253" s="93">
        <f t="shared" si="96"/>
        <v>0</v>
      </c>
      <c r="W253" s="93">
        <f t="shared" si="96"/>
        <v>0</v>
      </c>
    </row>
    <row r="254" spans="1:23" s="6" customFormat="1" ht="12.75" customHeight="1" outlineLevel="1">
      <c r="A254" s="64"/>
      <c r="B254" s="64"/>
      <c r="C254" s="62"/>
      <c r="D254" s="159"/>
      <c r="E254" s="129"/>
      <c r="F254" s="101"/>
      <c r="G254" s="101"/>
      <c r="H254" s="93"/>
      <c r="I254" s="101"/>
      <c r="J254" s="93"/>
      <c r="K254" s="93"/>
      <c r="L254" s="93"/>
      <c r="M254" s="93"/>
      <c r="N254" s="93"/>
      <c r="O254" s="93"/>
      <c r="P254" s="93"/>
      <c r="Q254" s="93"/>
      <c r="R254" s="93"/>
      <c r="S254" s="93"/>
      <c r="T254" s="93"/>
      <c r="U254" s="93"/>
      <c r="V254" s="93"/>
      <c r="W254" s="93"/>
    </row>
    <row r="255" spans="1:23" ht="12.75" customHeight="1" outlineLevel="1">
      <c r="E255" s="36" t="str">
        <f xml:space="preserve"> Inputs!E$63</f>
        <v>Discount rate</v>
      </c>
      <c r="F255" s="36">
        <f xml:space="preserve"> Inputs!F$63</f>
        <v>2.92E-2</v>
      </c>
      <c r="G255" s="36" t="str">
        <f xml:space="preserve"> Inputs!G$63</f>
        <v>%</v>
      </c>
      <c r="H255" s="36">
        <f xml:space="preserve"> Inputs!H$63</f>
        <v>0</v>
      </c>
      <c r="I255" s="36">
        <f xml:space="preserve"> Inputs!I$63</f>
        <v>0</v>
      </c>
      <c r="J255" s="36">
        <f xml:space="preserve"> Inputs!J$63</f>
        <v>0</v>
      </c>
      <c r="K255" s="36">
        <f xml:space="preserve"> Inputs!K$63</f>
        <v>0</v>
      </c>
      <c r="L255" s="36">
        <f xml:space="preserve"> Inputs!L$63</f>
        <v>0</v>
      </c>
      <c r="M255" s="36">
        <f xml:space="preserve"> Inputs!M$63</f>
        <v>0</v>
      </c>
      <c r="N255" s="36">
        <f xml:space="preserve"> Inputs!N$63</f>
        <v>0</v>
      </c>
      <c r="O255" s="36">
        <f xml:space="preserve"> Inputs!O$63</f>
        <v>0</v>
      </c>
      <c r="P255" s="36">
        <f xml:space="preserve"> Inputs!P$63</f>
        <v>0</v>
      </c>
      <c r="Q255" s="36">
        <f xml:space="preserve"> Inputs!Q$63</f>
        <v>0</v>
      </c>
      <c r="R255" s="36">
        <f xml:space="preserve"> Inputs!R$63</f>
        <v>0</v>
      </c>
      <c r="S255" s="36">
        <f xml:space="preserve"> Inputs!S$63</f>
        <v>0</v>
      </c>
      <c r="T255" s="36">
        <f xml:space="preserve"> Inputs!T$63</f>
        <v>0</v>
      </c>
      <c r="U255" s="36">
        <f xml:space="preserve"> Inputs!U$63</f>
        <v>0</v>
      </c>
      <c r="V255" s="36">
        <f xml:space="preserve"> Inputs!V$63</f>
        <v>0</v>
      </c>
      <c r="W255" s="36">
        <f xml:space="preserve"> Inputs!W$63</f>
        <v>0</v>
      </c>
    </row>
    <row r="256" spans="1:23" ht="12.75" customHeight="1" outlineLevel="1">
      <c r="A256" s="63"/>
      <c r="C256" s="110"/>
      <c r="E256" s="36" t="str">
        <f xml:space="preserve"> 'Indices and K factor'!E$11</f>
        <v>CPIH: Nov % increase (prior year) - CALC</v>
      </c>
      <c r="F256" s="36">
        <f xml:space="preserve"> 'Indices and K factor'!F$11</f>
        <v>0</v>
      </c>
      <c r="G256" s="36" t="str">
        <f xml:space="preserve"> 'Indices and K factor'!G$11</f>
        <v>%</v>
      </c>
      <c r="H256" s="36">
        <f xml:space="preserve"> 'Indices and K factor'!H$11</f>
        <v>0</v>
      </c>
      <c r="I256" s="36">
        <f xml:space="preserve"> 'Indices and K factor'!I$11</f>
        <v>0</v>
      </c>
      <c r="J256" s="36">
        <f xml:space="preserve"> 'Indices and K factor'!J$11</f>
        <v>0</v>
      </c>
      <c r="K256" s="36">
        <f xml:space="preserve"> 'Indices and K factor'!K$11</f>
        <v>0</v>
      </c>
      <c r="L256" s="36">
        <f xml:space="preserve"> 'Indices and K factor'!L$11</f>
        <v>1.0040040040040039</v>
      </c>
      <c r="M256" s="36">
        <f xml:space="preserve"> 'Indices and K factor'!M$11</f>
        <v>1.0149551345962113</v>
      </c>
      <c r="N256" s="36">
        <f xml:space="preserve"> 'Indices and K factor'!N$11</f>
        <v>1.0284872298624754</v>
      </c>
      <c r="O256" s="36">
        <f xml:space="preserve"> 'Indices and K factor'!O$11</f>
        <v>1.0210124164278893</v>
      </c>
      <c r="P256" s="36">
        <f xml:space="preserve"> 'Indices and K factor'!P$11</f>
        <v>1.0149672591206735</v>
      </c>
      <c r="Q256" s="36">
        <f xml:space="preserve"> 'Indices and K factor'!Q$11</f>
        <v>1.0055299539170506</v>
      </c>
      <c r="R256" s="36">
        <f xml:space="preserve"> 'Indices and K factor'!R$11</f>
        <v>1.0458295142071494</v>
      </c>
      <c r="S256" s="36">
        <f xml:space="preserve"> 'Indices and K factor'!S$11</f>
        <v>1.0937773882559159</v>
      </c>
      <c r="T256" s="36">
        <f xml:space="preserve"> 'Indices and K factor'!T$11</f>
        <v>1.042059294871795</v>
      </c>
      <c r="U256" s="36">
        <f xml:space="preserve"> 'Indices and K factor'!U$11</f>
        <v>1.0312779542070039</v>
      </c>
      <c r="V256" s="36">
        <f xml:space="preserve"> 'Indices and K factor'!V$11</f>
        <v>1.02</v>
      </c>
      <c r="W256" s="36">
        <f xml:space="preserve"> 'Indices and K factor'!W$11</f>
        <v>1.02</v>
      </c>
    </row>
    <row r="257" spans="1:23" ht="12.75" customHeight="1" outlineLevel="1">
      <c r="A257" s="63"/>
      <c r="C257" s="110"/>
      <c r="E257" s="323" t="str">
        <f t="shared" ref="E257:W257" si="97" xml:space="preserve"> E$246</f>
        <v>Penalty adjustment - Water Res</v>
      </c>
      <c r="F257" s="323">
        <f t="shared" si="97"/>
        <v>0</v>
      </c>
      <c r="G257" s="323" t="str">
        <f t="shared" si="97"/>
        <v>£m</v>
      </c>
      <c r="H257" s="323">
        <f t="shared" si="97"/>
        <v>0</v>
      </c>
      <c r="I257" s="323">
        <f t="shared" si="97"/>
        <v>0</v>
      </c>
      <c r="J257" s="324">
        <f t="shared" si="97"/>
        <v>0</v>
      </c>
      <c r="K257" s="324">
        <f t="shared" si="97"/>
        <v>0</v>
      </c>
      <c r="L257" s="324">
        <f t="shared" si="97"/>
        <v>0</v>
      </c>
      <c r="M257" s="324">
        <f t="shared" si="97"/>
        <v>0</v>
      </c>
      <c r="N257" s="324">
        <f t="shared" si="97"/>
        <v>0</v>
      </c>
      <c r="O257" s="324">
        <f t="shared" si="97"/>
        <v>0</v>
      </c>
      <c r="P257" s="324">
        <f t="shared" si="97"/>
        <v>0</v>
      </c>
      <c r="Q257" s="324">
        <f t="shared" si="97"/>
        <v>0</v>
      </c>
      <c r="R257" s="324">
        <f t="shared" si="97"/>
        <v>0</v>
      </c>
      <c r="S257" s="324">
        <f t="shared" si="97"/>
        <v>0</v>
      </c>
      <c r="T257" s="324">
        <f t="shared" si="97"/>
        <v>-35.214934640806696</v>
      </c>
      <c r="U257" s="324">
        <f t="shared" si="97"/>
        <v>0</v>
      </c>
      <c r="V257" s="324">
        <f t="shared" si="97"/>
        <v>0</v>
      </c>
      <c r="W257" s="324">
        <f t="shared" si="97"/>
        <v>0</v>
      </c>
    </row>
    <row r="258" spans="1:23" ht="12.75" customHeight="1" outlineLevel="1">
      <c r="A258" s="63"/>
      <c r="C258" s="110"/>
      <c r="E258" s="98" t="str">
        <f xml:space="preserve"> Time!E$51</f>
        <v>Forecast end period flag</v>
      </c>
      <c r="F258" s="98">
        <f xml:space="preserve"> Time!F$51</f>
        <v>0</v>
      </c>
      <c r="G258" s="98" t="str">
        <f xml:space="preserve"> Time!G$51</f>
        <v>flag</v>
      </c>
      <c r="H258" s="98">
        <f xml:space="preserve"> Time!H$51</f>
        <v>1</v>
      </c>
      <c r="I258" s="98">
        <f xml:space="preserve"> Time!I$51</f>
        <v>0</v>
      </c>
      <c r="J258" s="98">
        <f xml:space="preserve"> Time!J$51</f>
        <v>0</v>
      </c>
      <c r="K258" s="98">
        <f xml:space="preserve"> Time!K$51</f>
        <v>0</v>
      </c>
      <c r="L258" s="98">
        <f xml:space="preserve"> Time!L$51</f>
        <v>0</v>
      </c>
      <c r="M258" s="98">
        <f xml:space="preserve"> Time!M$51</f>
        <v>0</v>
      </c>
      <c r="N258" s="98">
        <f xml:space="preserve"> Time!N$51</f>
        <v>0</v>
      </c>
      <c r="O258" s="98">
        <f xml:space="preserve"> Time!O$51</f>
        <v>0</v>
      </c>
      <c r="P258" s="98">
        <f xml:space="preserve"> Time!P$51</f>
        <v>0</v>
      </c>
      <c r="Q258" s="98">
        <f xml:space="preserve"> Time!Q$51</f>
        <v>0</v>
      </c>
      <c r="R258" s="98">
        <f xml:space="preserve"> Time!R$51</f>
        <v>0</v>
      </c>
      <c r="S258" s="98">
        <f xml:space="preserve"> Time!S$51</f>
        <v>0</v>
      </c>
      <c r="T258" s="98">
        <f xml:space="preserve"> Time!T$51</f>
        <v>1</v>
      </c>
      <c r="U258" s="98">
        <f xml:space="preserve"> Time!U$51</f>
        <v>0</v>
      </c>
      <c r="V258" s="98">
        <f xml:space="preserve"> Time!V$51</f>
        <v>0</v>
      </c>
      <c r="W258" s="98">
        <f xml:space="preserve"> Time!W$51</f>
        <v>0</v>
      </c>
    </row>
    <row r="259" spans="1:23" s="6" customFormat="1" ht="12.75" customHeight="1" outlineLevel="1">
      <c r="A259" s="64"/>
      <c r="B259" s="64"/>
      <c r="C259" s="62"/>
      <c r="D259" s="159"/>
      <c r="E259" s="129" t="s">
        <v>369</v>
      </c>
      <c r="F259" s="101"/>
      <c r="G259" s="101" t="s">
        <v>97</v>
      </c>
      <c r="H259" s="93">
        <f xml:space="preserve"> SUM(J259:W259)</f>
        <v>0</v>
      </c>
      <c r="I259" s="101"/>
      <c r="J259" s="193">
        <f xml:space="preserve"> J258 * ( I257 * J256 * (1 + $F255) )</f>
        <v>0</v>
      </c>
      <c r="K259" s="193">
        <f t="shared" ref="K259:W259" si="98" xml:space="preserve"> K258 * ( J257 * K256 * (1 + $F255) )</f>
        <v>0</v>
      </c>
      <c r="L259" s="193">
        <f t="shared" si="98"/>
        <v>0</v>
      </c>
      <c r="M259" s="193">
        <f t="shared" si="98"/>
        <v>0</v>
      </c>
      <c r="N259" s="193">
        <f t="shared" si="98"/>
        <v>0</v>
      </c>
      <c r="O259" s="193">
        <f t="shared" si="98"/>
        <v>0</v>
      </c>
      <c r="P259" s="193">
        <f t="shared" si="98"/>
        <v>0</v>
      </c>
      <c r="Q259" s="193">
        <f t="shared" si="98"/>
        <v>0</v>
      </c>
      <c r="R259" s="193">
        <f t="shared" si="98"/>
        <v>0</v>
      </c>
      <c r="S259" s="193">
        <f t="shared" si="98"/>
        <v>0</v>
      </c>
      <c r="T259" s="193">
        <f t="shared" si="98"/>
        <v>0</v>
      </c>
      <c r="U259" s="193">
        <f t="shared" si="98"/>
        <v>0</v>
      </c>
      <c r="V259" s="193">
        <f t="shared" si="98"/>
        <v>0</v>
      </c>
      <c r="W259" s="193">
        <f t="shared" si="98"/>
        <v>0</v>
      </c>
    </row>
    <row r="260" spans="1:23" s="6" customFormat="1" ht="12.75" customHeight="1" outlineLevel="1">
      <c r="A260" s="64"/>
      <c r="B260" s="64"/>
      <c r="C260" s="62"/>
      <c r="D260" s="159"/>
      <c r="E260" s="129"/>
      <c r="F260" s="101"/>
      <c r="G260" s="101"/>
      <c r="H260" s="93"/>
      <c r="I260" s="101"/>
      <c r="J260" s="193"/>
      <c r="K260" s="193"/>
      <c r="L260" s="193"/>
      <c r="M260" s="193"/>
      <c r="N260" s="193"/>
      <c r="O260" s="193"/>
      <c r="P260" s="193"/>
      <c r="Q260" s="193"/>
      <c r="R260" s="193"/>
      <c r="S260" s="193"/>
      <c r="T260" s="193"/>
      <c r="U260" s="193"/>
      <c r="V260" s="193"/>
      <c r="W260" s="193"/>
    </row>
    <row r="261" spans="1:23" s="6" customFormat="1" ht="12.75" customHeight="1" outlineLevel="1">
      <c r="A261" s="64"/>
      <c r="B261" s="64"/>
      <c r="C261" s="62"/>
      <c r="D261" s="159"/>
      <c r="E261" s="101" t="str">
        <f t="shared" ref="E261:W261" si="99" xml:space="preserve"> E$253</f>
        <v>Value of year 4 main revenue and BEA adjustment at the end of AMP7 - Water Res</v>
      </c>
      <c r="F261" s="101">
        <f t="shared" si="99"/>
        <v>0</v>
      </c>
      <c r="G261" s="101" t="str">
        <f t="shared" si="99"/>
        <v>£m</v>
      </c>
      <c r="H261" s="93">
        <f t="shared" si="99"/>
        <v>-3.5902056469464569</v>
      </c>
      <c r="I261" s="101">
        <f t="shared" si="99"/>
        <v>0</v>
      </c>
      <c r="J261" s="325">
        <f t="shared" si="99"/>
        <v>0</v>
      </c>
      <c r="K261" s="325">
        <f t="shared" si="99"/>
        <v>0</v>
      </c>
      <c r="L261" s="325">
        <f t="shared" si="99"/>
        <v>0</v>
      </c>
      <c r="M261" s="325">
        <f t="shared" si="99"/>
        <v>0</v>
      </c>
      <c r="N261" s="325">
        <f t="shared" si="99"/>
        <v>0</v>
      </c>
      <c r="O261" s="325">
        <f t="shared" si="99"/>
        <v>0</v>
      </c>
      <c r="P261" s="325">
        <f t="shared" si="99"/>
        <v>0</v>
      </c>
      <c r="Q261" s="325">
        <f t="shared" si="99"/>
        <v>0</v>
      </c>
      <c r="R261" s="325">
        <f t="shared" si="99"/>
        <v>0</v>
      </c>
      <c r="S261" s="325">
        <f t="shared" si="99"/>
        <v>0</v>
      </c>
      <c r="T261" s="325">
        <f t="shared" si="99"/>
        <v>-3.5902056469464569</v>
      </c>
      <c r="U261" s="325">
        <f t="shared" si="99"/>
        <v>0</v>
      </c>
      <c r="V261" s="325">
        <f t="shared" si="99"/>
        <v>0</v>
      </c>
      <c r="W261" s="325">
        <f t="shared" si="99"/>
        <v>0</v>
      </c>
    </row>
    <row r="262" spans="1:23" s="6" customFormat="1" ht="12.75" customHeight="1" outlineLevel="1">
      <c r="A262" s="64"/>
      <c r="B262" s="64"/>
      <c r="C262" s="62"/>
      <c r="D262" s="159"/>
      <c r="E262" s="101" t="str">
        <f t="shared" ref="E262:W262" si="100" xml:space="preserve"> E$259</f>
        <v>Value of year 4 penalty adjustment at the end of AMP7 - Water Res</v>
      </c>
      <c r="F262" s="101">
        <f t="shared" si="100"/>
        <v>0</v>
      </c>
      <c r="G262" s="101" t="str">
        <f t="shared" si="100"/>
        <v>£m</v>
      </c>
      <c r="H262" s="93">
        <f t="shared" si="100"/>
        <v>0</v>
      </c>
      <c r="I262" s="101">
        <f t="shared" si="100"/>
        <v>0</v>
      </c>
      <c r="J262" s="193">
        <f t="shared" si="100"/>
        <v>0</v>
      </c>
      <c r="K262" s="193">
        <f t="shared" si="100"/>
        <v>0</v>
      </c>
      <c r="L262" s="193">
        <f t="shared" si="100"/>
        <v>0</v>
      </c>
      <c r="M262" s="193">
        <f t="shared" si="100"/>
        <v>0</v>
      </c>
      <c r="N262" s="193">
        <f t="shared" si="100"/>
        <v>0</v>
      </c>
      <c r="O262" s="193">
        <f t="shared" si="100"/>
        <v>0</v>
      </c>
      <c r="P262" s="193">
        <f t="shared" si="100"/>
        <v>0</v>
      </c>
      <c r="Q262" s="193">
        <f t="shared" si="100"/>
        <v>0</v>
      </c>
      <c r="R262" s="193">
        <f t="shared" si="100"/>
        <v>0</v>
      </c>
      <c r="S262" s="193">
        <f t="shared" si="100"/>
        <v>0</v>
      </c>
      <c r="T262" s="193">
        <f t="shared" si="100"/>
        <v>0</v>
      </c>
      <c r="U262" s="193">
        <f t="shared" si="100"/>
        <v>0</v>
      </c>
      <c r="V262" s="193">
        <f t="shared" si="100"/>
        <v>0</v>
      </c>
      <c r="W262" s="193">
        <f t="shared" si="100"/>
        <v>0</v>
      </c>
    </row>
    <row r="263" spans="1:23" s="6" customFormat="1" ht="12.75" customHeight="1" outlineLevel="1" thickBot="1">
      <c r="A263" s="64"/>
      <c r="B263" s="64"/>
      <c r="C263" s="62"/>
      <c r="D263" s="159"/>
      <c r="E263" s="287" t="s">
        <v>370</v>
      </c>
      <c r="F263" s="287"/>
      <c r="G263" s="287" t="s">
        <v>97</v>
      </c>
      <c r="H263" s="287">
        <f xml:space="preserve"> SUM(J263:W263)</f>
        <v>-3.5902056469464569</v>
      </c>
      <c r="I263" s="287"/>
      <c r="J263" s="287">
        <f xml:space="preserve">  J261 + J262</f>
        <v>0</v>
      </c>
      <c r="K263" s="287">
        <f t="shared" ref="K263:W263" si="101" xml:space="preserve">  K261 + K262</f>
        <v>0</v>
      </c>
      <c r="L263" s="287">
        <f t="shared" si="101"/>
        <v>0</v>
      </c>
      <c r="M263" s="287">
        <f t="shared" si="101"/>
        <v>0</v>
      </c>
      <c r="N263" s="287">
        <f t="shared" si="101"/>
        <v>0</v>
      </c>
      <c r="O263" s="287">
        <f t="shared" si="101"/>
        <v>0</v>
      </c>
      <c r="P263" s="287">
        <f t="shared" si="101"/>
        <v>0</v>
      </c>
      <c r="Q263" s="287">
        <f t="shared" si="101"/>
        <v>0</v>
      </c>
      <c r="R263" s="287">
        <f t="shared" si="101"/>
        <v>0</v>
      </c>
      <c r="S263" s="287">
        <f t="shared" si="101"/>
        <v>0</v>
      </c>
      <c r="T263" s="287">
        <f t="shared" si="101"/>
        <v>-3.5902056469464569</v>
      </c>
      <c r="U263" s="287">
        <f t="shared" si="101"/>
        <v>0</v>
      </c>
      <c r="V263" s="287">
        <f t="shared" si="101"/>
        <v>0</v>
      </c>
      <c r="W263" s="287">
        <f t="shared" si="101"/>
        <v>0</v>
      </c>
    </row>
    <row r="264" spans="1:23" s="260" customFormat="1" ht="12.75" customHeight="1" outlineLevel="1" thickTop="1">
      <c r="A264" s="254"/>
      <c r="B264" s="254"/>
      <c r="C264" s="255"/>
      <c r="D264" s="256"/>
      <c r="E264" s="251"/>
      <c r="F264" s="257"/>
      <c r="G264" s="257"/>
      <c r="H264" s="258"/>
      <c r="I264" s="257"/>
      <c r="J264" s="258"/>
      <c r="K264" s="258"/>
      <c r="L264" s="258"/>
      <c r="M264" s="258"/>
      <c r="N264" s="258"/>
      <c r="O264" s="258"/>
      <c r="P264" s="258"/>
      <c r="Q264" s="258"/>
      <c r="R264" s="258"/>
      <c r="S264" s="258"/>
      <c r="T264" s="258"/>
      <c r="U264" s="258"/>
      <c r="V264" s="258"/>
      <c r="W264" s="258"/>
    </row>
    <row r="265" spans="1:23" ht="12.75" customHeight="1" outlineLevel="1">
      <c r="A265" s="63"/>
      <c r="B265" s="63" t="s">
        <v>371</v>
      </c>
      <c r="C265" s="110"/>
      <c r="E265" s="74"/>
    </row>
    <row r="266" spans="1:23" ht="12.75" customHeight="1" outlineLevel="1">
      <c r="A266" s="63"/>
      <c r="C266" s="110"/>
      <c r="E266" s="74"/>
    </row>
    <row r="267" spans="1:23" s="155" customFormat="1" ht="13.2" outlineLevel="1">
      <c r="A267" s="279"/>
      <c r="B267" s="279"/>
      <c r="C267" s="162"/>
      <c r="D267" s="280"/>
      <c r="E267" s="129" t="str">
        <f xml:space="preserve"> E$83</f>
        <v>Revenue Imbalance - Water-N+</v>
      </c>
      <c r="F267" s="129">
        <f t="shared" ref="F267:W267" si="102" xml:space="preserve"> F$83</f>
        <v>0</v>
      </c>
      <c r="G267" s="129" t="str">
        <f t="shared" si="102"/>
        <v>£m</v>
      </c>
      <c r="H267" s="148">
        <f t="shared" si="102"/>
        <v>1152.4523548870193</v>
      </c>
      <c r="I267" s="129">
        <f t="shared" si="102"/>
        <v>0</v>
      </c>
      <c r="J267" s="148">
        <f t="shared" si="102"/>
        <v>0</v>
      </c>
      <c r="K267" s="148">
        <f t="shared" si="102"/>
        <v>0</v>
      </c>
      <c r="L267" s="148">
        <f t="shared" si="102"/>
        <v>0</v>
      </c>
      <c r="M267" s="148">
        <f t="shared" si="102"/>
        <v>0</v>
      </c>
      <c r="N267" s="148">
        <f t="shared" si="102"/>
        <v>0</v>
      </c>
      <c r="O267" s="148">
        <f t="shared" si="102"/>
        <v>0</v>
      </c>
      <c r="P267" s="148">
        <f t="shared" si="102"/>
        <v>17.482668256280476</v>
      </c>
      <c r="Q267" s="148">
        <f t="shared" si="102"/>
        <v>30.931606068130918</v>
      </c>
      <c r="R267" s="148">
        <f t="shared" si="102"/>
        <v>27.691003044624722</v>
      </c>
      <c r="S267" s="148">
        <f t="shared" si="102"/>
        <v>21.216382882526432</v>
      </c>
      <c r="T267" s="148">
        <f t="shared" si="102"/>
        <v>1055.1306946354568</v>
      </c>
      <c r="U267" s="148">
        <f t="shared" si="102"/>
        <v>0</v>
      </c>
      <c r="V267" s="148">
        <f t="shared" si="102"/>
        <v>0</v>
      </c>
      <c r="W267" s="148">
        <f t="shared" si="102"/>
        <v>0</v>
      </c>
    </row>
    <row r="268" spans="1:23" s="155" customFormat="1" ht="13.2" outlineLevel="1">
      <c r="A268" s="279"/>
      <c r="B268" s="279"/>
      <c r="C268" s="162"/>
      <c r="D268" s="280"/>
      <c r="E268" s="296" t="str">
        <f t="shared" ref="E268:W268" si="103" xml:space="preserve"> E$224</f>
        <v>Penalty adjustment - Water-N+</v>
      </c>
      <c r="F268" s="296">
        <f t="shared" si="103"/>
        <v>0</v>
      </c>
      <c r="G268" s="296" t="str">
        <f t="shared" si="103"/>
        <v>£m</v>
      </c>
      <c r="H268" s="296">
        <f t="shared" si="103"/>
        <v>-1.7814151354534071</v>
      </c>
      <c r="I268" s="296">
        <f t="shared" si="103"/>
        <v>0</v>
      </c>
      <c r="J268" s="93">
        <f t="shared" si="103"/>
        <v>0</v>
      </c>
      <c r="K268" s="93">
        <f t="shared" si="103"/>
        <v>0</v>
      </c>
      <c r="L268" s="93">
        <f t="shared" si="103"/>
        <v>0</v>
      </c>
      <c r="M268" s="93">
        <f t="shared" si="103"/>
        <v>0</v>
      </c>
      <c r="N268" s="93">
        <f t="shared" si="103"/>
        <v>0</v>
      </c>
      <c r="O268" s="93">
        <f t="shared" si="103"/>
        <v>0</v>
      </c>
      <c r="P268" s="93">
        <f t="shared" si="103"/>
        <v>-1.6310168932258232E-2</v>
      </c>
      <c r="Q268" s="93">
        <f t="shared" si="103"/>
        <v>-1.004381690102593</v>
      </c>
      <c r="R268" s="93">
        <f t="shared" si="103"/>
        <v>-0.76072327641855586</v>
      </c>
      <c r="S268" s="93">
        <f t="shared" si="103"/>
        <v>0</v>
      </c>
      <c r="T268" s="93">
        <f t="shared" si="103"/>
        <v>0</v>
      </c>
      <c r="U268" s="93">
        <f t="shared" si="103"/>
        <v>0</v>
      </c>
      <c r="V268" s="93">
        <f t="shared" si="103"/>
        <v>0</v>
      </c>
      <c r="W268" s="93">
        <f t="shared" si="103"/>
        <v>0</v>
      </c>
    </row>
    <row r="269" spans="1:23" s="123" customFormat="1" ht="12.75" customHeight="1" outlineLevel="1">
      <c r="A269" s="166"/>
      <c r="B269" s="166"/>
      <c r="C269" s="167"/>
      <c r="D269" s="75"/>
      <c r="E269" s="98" t="str">
        <f xml:space="preserve"> Time!E$51</f>
        <v>Forecast end period flag</v>
      </c>
      <c r="F269" s="98">
        <f xml:space="preserve"> Time!F$51</f>
        <v>0</v>
      </c>
      <c r="G269" s="98" t="str">
        <f xml:space="preserve"> Time!G$51</f>
        <v>flag</v>
      </c>
      <c r="H269" s="98">
        <f xml:space="preserve"> Time!H$51</f>
        <v>1</v>
      </c>
      <c r="I269" s="98">
        <f xml:space="preserve"> Time!I$51</f>
        <v>0</v>
      </c>
      <c r="J269" s="98">
        <f xml:space="preserve"> Time!J$51</f>
        <v>0</v>
      </c>
      <c r="K269" s="98">
        <f xml:space="preserve"> Time!K$51</f>
        <v>0</v>
      </c>
      <c r="L269" s="98">
        <f xml:space="preserve"> Time!L$51</f>
        <v>0</v>
      </c>
      <c r="M269" s="98">
        <f xml:space="preserve"> Time!M$51</f>
        <v>0</v>
      </c>
      <c r="N269" s="98">
        <f xml:space="preserve"> Time!N$51</f>
        <v>0</v>
      </c>
      <c r="O269" s="98">
        <f xml:space="preserve"> Time!O$51</f>
        <v>0</v>
      </c>
      <c r="P269" s="98">
        <f xml:space="preserve"> Time!P$51</f>
        <v>0</v>
      </c>
      <c r="Q269" s="98">
        <f xml:space="preserve"> Time!Q$51</f>
        <v>0</v>
      </c>
      <c r="R269" s="98">
        <f xml:space="preserve"> Time!R$51</f>
        <v>0</v>
      </c>
      <c r="S269" s="98">
        <f xml:space="preserve"> Time!S$51</f>
        <v>0</v>
      </c>
      <c r="T269" s="98">
        <f xml:space="preserve"> Time!T$51</f>
        <v>1</v>
      </c>
      <c r="U269" s="98">
        <f xml:space="preserve"> Time!U$51</f>
        <v>0</v>
      </c>
      <c r="V269" s="98">
        <f xml:space="preserve"> Time!V$51</f>
        <v>0</v>
      </c>
      <c r="W269" s="98">
        <f xml:space="preserve"> Time!W$51</f>
        <v>0</v>
      </c>
    </row>
    <row r="270" spans="1:23" s="6" customFormat="1" ht="12.75" customHeight="1" outlineLevel="1" thickBot="1">
      <c r="A270" s="64"/>
      <c r="B270" s="64"/>
      <c r="C270" s="62"/>
      <c r="D270" s="159"/>
      <c r="E270" s="287" t="s">
        <v>372</v>
      </c>
      <c r="F270" s="287"/>
      <c r="G270" s="287" t="s">
        <v>97</v>
      </c>
      <c r="H270" s="287">
        <f xml:space="preserve"> SUM(J270:W270)</f>
        <v>1055.1306946354568</v>
      </c>
      <c r="I270" s="287"/>
      <c r="J270" s="287">
        <f xml:space="preserve"> ( J267 + J268 ) * J269</f>
        <v>0</v>
      </c>
      <c r="K270" s="287">
        <f t="shared" ref="K270:W270" si="104" xml:space="preserve"> ( K267 + K268 ) * K269</f>
        <v>0</v>
      </c>
      <c r="L270" s="287">
        <f t="shared" si="104"/>
        <v>0</v>
      </c>
      <c r="M270" s="287">
        <f t="shared" si="104"/>
        <v>0</v>
      </c>
      <c r="N270" s="287">
        <f t="shared" si="104"/>
        <v>0</v>
      </c>
      <c r="O270" s="287">
        <f t="shared" si="104"/>
        <v>0</v>
      </c>
      <c r="P270" s="287">
        <f t="shared" si="104"/>
        <v>0</v>
      </c>
      <c r="Q270" s="287">
        <f t="shared" si="104"/>
        <v>0</v>
      </c>
      <c r="R270" s="287">
        <f t="shared" si="104"/>
        <v>0</v>
      </c>
      <c r="S270" s="287">
        <f t="shared" si="104"/>
        <v>0</v>
      </c>
      <c r="T270" s="287">
        <f t="shared" si="104"/>
        <v>1055.1306946354568</v>
      </c>
      <c r="U270" s="287">
        <f t="shared" si="104"/>
        <v>0</v>
      </c>
      <c r="V270" s="287">
        <f t="shared" si="104"/>
        <v>0</v>
      </c>
      <c r="W270" s="287">
        <f t="shared" si="104"/>
        <v>0</v>
      </c>
    </row>
    <row r="271" spans="1:23" s="260" customFormat="1" ht="12.75" customHeight="1" outlineLevel="1" thickTop="1">
      <c r="A271" s="254"/>
      <c r="B271" s="254"/>
      <c r="C271" s="255"/>
      <c r="D271" s="256"/>
      <c r="E271" s="251"/>
      <c r="F271" s="257"/>
      <c r="G271" s="257"/>
      <c r="H271" s="258"/>
      <c r="I271" s="257"/>
      <c r="J271" s="258"/>
      <c r="K271" s="258"/>
      <c r="L271" s="258"/>
      <c r="M271" s="258"/>
      <c r="N271" s="258"/>
      <c r="O271" s="258"/>
      <c r="P271" s="258"/>
      <c r="Q271" s="258"/>
      <c r="R271" s="258"/>
      <c r="S271" s="258"/>
      <c r="T271" s="258"/>
      <c r="U271" s="258"/>
      <c r="V271" s="258"/>
      <c r="W271" s="258"/>
    </row>
    <row r="272" spans="1:23" ht="12.75" customHeight="1" outlineLevel="1">
      <c r="A272" s="63"/>
      <c r="B272" s="63" t="s">
        <v>373</v>
      </c>
      <c r="C272" s="110"/>
      <c r="E272" s="74"/>
    </row>
    <row r="273" spans="1:23" ht="12.75" customHeight="1" outlineLevel="1">
      <c r="A273" s="63"/>
      <c r="C273" s="110"/>
      <c r="E273" s="74"/>
    </row>
    <row r="274" spans="1:23" s="282" customFormat="1" ht="12.75" customHeight="1" outlineLevel="1">
      <c r="A274" s="183"/>
      <c r="B274" s="183"/>
      <c r="C274" s="184"/>
      <c r="D274" s="159"/>
      <c r="E274" s="211" t="str">
        <f xml:space="preserve"> E$95</f>
        <v>Revenue Imbalance - Water Res</v>
      </c>
      <c r="F274" s="211">
        <f t="shared" ref="F274:W274" si="105" xml:space="preserve"> F$95</f>
        <v>0</v>
      </c>
      <c r="G274" s="211" t="str">
        <f t="shared" si="105"/>
        <v>£m</v>
      </c>
      <c r="H274" s="233">
        <f t="shared" si="105"/>
        <v>121.14810826192262</v>
      </c>
      <c r="I274" s="233">
        <f t="shared" si="105"/>
        <v>0</v>
      </c>
      <c r="J274" s="233">
        <f t="shared" si="105"/>
        <v>0</v>
      </c>
      <c r="K274" s="233">
        <f t="shared" si="105"/>
        <v>0</v>
      </c>
      <c r="L274" s="233">
        <f t="shared" si="105"/>
        <v>0</v>
      </c>
      <c r="M274" s="233">
        <f t="shared" si="105"/>
        <v>0</v>
      </c>
      <c r="N274" s="233">
        <f t="shared" si="105"/>
        <v>0</v>
      </c>
      <c r="O274" s="233">
        <f t="shared" si="105"/>
        <v>0</v>
      </c>
      <c r="P274" s="233">
        <f t="shared" si="105"/>
        <v>1.2695887534549399</v>
      </c>
      <c r="Q274" s="233">
        <f t="shared" si="105"/>
        <v>2.5477836019555156</v>
      </c>
      <c r="R274" s="233">
        <f t="shared" si="105"/>
        <v>1.9778261869673628</v>
      </c>
      <c r="S274" s="233">
        <f t="shared" si="105"/>
        <v>-3.3475503385549956</v>
      </c>
      <c r="T274" s="233">
        <f t="shared" si="105"/>
        <v>118.70046005809979</v>
      </c>
      <c r="U274" s="233">
        <f t="shared" si="105"/>
        <v>0</v>
      </c>
      <c r="V274" s="233">
        <f t="shared" si="105"/>
        <v>0</v>
      </c>
      <c r="W274" s="233">
        <f t="shared" si="105"/>
        <v>0</v>
      </c>
    </row>
    <row r="275" spans="1:23" s="123" customFormat="1" ht="12.75" customHeight="1" outlineLevel="1">
      <c r="A275" s="166"/>
      <c r="B275" s="166"/>
      <c r="C275" s="167"/>
      <c r="D275" s="75"/>
      <c r="E275" s="93" t="str">
        <f t="shared" ref="E275:W275" si="106" xml:space="preserve"> E$218</f>
        <v>Bilateral entry adjustment (BEA)</v>
      </c>
      <c r="F275" s="93">
        <f t="shared" si="106"/>
        <v>0</v>
      </c>
      <c r="G275" s="93" t="str">
        <f t="shared" si="106"/>
        <v>£m</v>
      </c>
      <c r="H275" s="93">
        <f t="shared" si="106"/>
        <v>0</v>
      </c>
      <c r="I275" s="150">
        <f t="shared" si="106"/>
        <v>0</v>
      </c>
      <c r="J275" s="93">
        <f t="shared" si="106"/>
        <v>0</v>
      </c>
      <c r="K275" s="93">
        <f t="shared" si="106"/>
        <v>0</v>
      </c>
      <c r="L275" s="93">
        <f t="shared" si="106"/>
        <v>0</v>
      </c>
      <c r="M275" s="93">
        <f t="shared" si="106"/>
        <v>0</v>
      </c>
      <c r="N275" s="93">
        <f t="shared" si="106"/>
        <v>0</v>
      </c>
      <c r="O275" s="93">
        <f t="shared" si="106"/>
        <v>0</v>
      </c>
      <c r="P275" s="93">
        <f t="shared" si="106"/>
        <v>0</v>
      </c>
      <c r="Q275" s="93">
        <f t="shared" si="106"/>
        <v>0</v>
      </c>
      <c r="R275" s="93">
        <f t="shared" si="106"/>
        <v>0</v>
      </c>
      <c r="S275" s="93">
        <f t="shared" si="106"/>
        <v>0</v>
      </c>
      <c r="T275" s="93">
        <f t="shared" si="106"/>
        <v>0</v>
      </c>
      <c r="U275" s="93">
        <f t="shared" si="106"/>
        <v>0</v>
      </c>
      <c r="V275" s="93">
        <f t="shared" si="106"/>
        <v>0</v>
      </c>
      <c r="W275" s="93">
        <f t="shared" si="106"/>
        <v>0</v>
      </c>
    </row>
    <row r="276" spans="1:23" s="6" customFormat="1" ht="12.75" customHeight="1" outlineLevel="1">
      <c r="A276" s="64"/>
      <c r="B276" s="64"/>
      <c r="C276" s="62"/>
      <c r="D276" s="159"/>
      <c r="E276" s="206" t="str">
        <f t="shared" ref="E276:W276" si="107" xml:space="preserve"> E$246</f>
        <v>Penalty adjustment - Water Res</v>
      </c>
      <c r="F276" s="206">
        <f t="shared" si="107"/>
        <v>0</v>
      </c>
      <c r="G276" s="206" t="str">
        <f t="shared" si="107"/>
        <v>£m</v>
      </c>
      <c r="H276" s="206">
        <f t="shared" si="107"/>
        <v>0</v>
      </c>
      <c r="I276" s="206">
        <f t="shared" si="107"/>
        <v>0</v>
      </c>
      <c r="J276" s="44">
        <f t="shared" si="107"/>
        <v>0</v>
      </c>
      <c r="K276" s="44">
        <f t="shared" si="107"/>
        <v>0</v>
      </c>
      <c r="L276" s="44">
        <f t="shared" si="107"/>
        <v>0</v>
      </c>
      <c r="M276" s="44">
        <f t="shared" si="107"/>
        <v>0</v>
      </c>
      <c r="N276" s="44">
        <f t="shared" si="107"/>
        <v>0</v>
      </c>
      <c r="O276" s="44">
        <f t="shared" si="107"/>
        <v>0</v>
      </c>
      <c r="P276" s="44">
        <f t="shared" si="107"/>
        <v>0</v>
      </c>
      <c r="Q276" s="44">
        <f t="shared" si="107"/>
        <v>0</v>
      </c>
      <c r="R276" s="44">
        <f t="shared" si="107"/>
        <v>0</v>
      </c>
      <c r="S276" s="44">
        <f t="shared" si="107"/>
        <v>0</v>
      </c>
      <c r="T276" s="44">
        <f t="shared" si="107"/>
        <v>-35.214934640806696</v>
      </c>
      <c r="U276" s="44">
        <f t="shared" si="107"/>
        <v>0</v>
      </c>
      <c r="V276" s="44">
        <f t="shared" si="107"/>
        <v>0</v>
      </c>
      <c r="W276" s="44">
        <f t="shared" si="107"/>
        <v>0</v>
      </c>
    </row>
    <row r="277" spans="1:23" s="123" customFormat="1" ht="12.75" customHeight="1" outlineLevel="1">
      <c r="A277" s="166"/>
      <c r="B277" s="166"/>
      <c r="C277" s="167"/>
      <c r="D277" s="75"/>
      <c r="E277" s="98" t="str">
        <f xml:space="preserve"> Time!E$51</f>
        <v>Forecast end period flag</v>
      </c>
      <c r="F277" s="98">
        <f xml:space="preserve"> Time!F$51</f>
        <v>0</v>
      </c>
      <c r="G277" s="98" t="str">
        <f xml:space="preserve"> Time!G$51</f>
        <v>flag</v>
      </c>
      <c r="H277" s="98">
        <f xml:space="preserve"> Time!H$51</f>
        <v>1</v>
      </c>
      <c r="I277" s="98">
        <f xml:space="preserve"> Time!I$51</f>
        <v>0</v>
      </c>
      <c r="J277" s="98">
        <f xml:space="preserve"> Time!J$51</f>
        <v>0</v>
      </c>
      <c r="K277" s="98">
        <f xml:space="preserve"> Time!K$51</f>
        <v>0</v>
      </c>
      <c r="L277" s="98">
        <f xml:space="preserve"> Time!L$51</f>
        <v>0</v>
      </c>
      <c r="M277" s="98">
        <f xml:space="preserve"> Time!M$51</f>
        <v>0</v>
      </c>
      <c r="N277" s="98">
        <f xml:space="preserve"> Time!N$51</f>
        <v>0</v>
      </c>
      <c r="O277" s="98">
        <f xml:space="preserve"> Time!O$51</f>
        <v>0</v>
      </c>
      <c r="P277" s="98">
        <f xml:space="preserve"> Time!P$51</f>
        <v>0</v>
      </c>
      <c r="Q277" s="98">
        <f xml:space="preserve"> Time!Q$51</f>
        <v>0</v>
      </c>
      <c r="R277" s="98">
        <f xml:space="preserve"> Time!R$51</f>
        <v>0</v>
      </c>
      <c r="S277" s="98">
        <f xml:space="preserve"> Time!S$51</f>
        <v>0</v>
      </c>
      <c r="T277" s="98">
        <f xml:space="preserve"> Time!T$51</f>
        <v>1</v>
      </c>
      <c r="U277" s="98">
        <f xml:space="preserve"> Time!U$51</f>
        <v>0</v>
      </c>
      <c r="V277" s="98">
        <f xml:space="preserve"> Time!V$51</f>
        <v>0</v>
      </c>
      <c r="W277" s="98">
        <f xml:space="preserve"> Time!W$51</f>
        <v>0</v>
      </c>
    </row>
    <row r="278" spans="1:23" s="6" customFormat="1" ht="12.75" customHeight="1" outlineLevel="1" thickBot="1">
      <c r="A278" s="64"/>
      <c r="B278" s="64"/>
      <c r="C278" s="62"/>
      <c r="D278" s="159"/>
      <c r="E278" s="287" t="s">
        <v>374</v>
      </c>
      <c r="F278" s="287"/>
      <c r="G278" s="287" t="s">
        <v>97</v>
      </c>
      <c r="H278" s="287">
        <f xml:space="preserve"> SUM(J278:W278)</f>
        <v>83.485525417293104</v>
      </c>
      <c r="I278" s="287"/>
      <c r="J278" s="287">
        <f t="shared" ref="J278:W278" si="108" xml:space="preserve"> ( J274 + J275 + J276 ) * J277</f>
        <v>0</v>
      </c>
      <c r="K278" s="287">
        <f t="shared" si="108"/>
        <v>0</v>
      </c>
      <c r="L278" s="287">
        <f t="shared" si="108"/>
        <v>0</v>
      </c>
      <c r="M278" s="287">
        <f t="shared" si="108"/>
        <v>0</v>
      </c>
      <c r="N278" s="287">
        <f t="shared" si="108"/>
        <v>0</v>
      </c>
      <c r="O278" s="287">
        <f t="shared" si="108"/>
        <v>0</v>
      </c>
      <c r="P278" s="287">
        <f t="shared" si="108"/>
        <v>0</v>
      </c>
      <c r="Q278" s="287">
        <f t="shared" si="108"/>
        <v>0</v>
      </c>
      <c r="R278" s="287">
        <f t="shared" si="108"/>
        <v>0</v>
      </c>
      <c r="S278" s="287">
        <f t="shared" si="108"/>
        <v>0</v>
      </c>
      <c r="T278" s="287">
        <f t="shared" si="108"/>
        <v>83.485525417293104</v>
      </c>
      <c r="U278" s="287">
        <f t="shared" si="108"/>
        <v>0</v>
      </c>
      <c r="V278" s="287">
        <f t="shared" si="108"/>
        <v>0</v>
      </c>
      <c r="W278" s="287">
        <f t="shared" si="108"/>
        <v>0</v>
      </c>
    </row>
    <row r="279" spans="1:23" s="6" customFormat="1" ht="12.75" customHeight="1" outlineLevel="1" thickTop="1">
      <c r="A279" s="64"/>
      <c r="B279" s="64"/>
      <c r="C279" s="62"/>
      <c r="D279" s="159"/>
      <c r="E279" s="153"/>
      <c r="F279" s="58"/>
      <c r="G279" s="58"/>
      <c r="H279" s="95"/>
      <c r="I279" s="58"/>
      <c r="J279" s="95"/>
      <c r="K279" s="95"/>
      <c r="L279" s="95"/>
      <c r="M279" s="95"/>
      <c r="N279" s="95"/>
      <c r="O279" s="95"/>
      <c r="P279" s="95"/>
      <c r="Q279" s="95"/>
      <c r="R279" s="95"/>
      <c r="S279" s="95"/>
      <c r="T279" s="95"/>
      <c r="U279" s="95"/>
    </row>
    <row r="280" spans="1:23" s="6" customFormat="1" ht="12.75" customHeight="1" outlineLevel="1">
      <c r="A280" s="64"/>
      <c r="B280" s="64" t="s">
        <v>375</v>
      </c>
      <c r="C280" s="62"/>
      <c r="D280" s="159"/>
      <c r="E280" s="129"/>
      <c r="F280" s="101"/>
      <c r="G280" s="101"/>
      <c r="H280" s="101"/>
      <c r="I280" s="101"/>
      <c r="J280" s="101"/>
      <c r="K280" s="101"/>
      <c r="L280" s="101"/>
      <c r="M280" s="101"/>
      <c r="N280" s="101"/>
      <c r="O280" s="101"/>
      <c r="P280" s="101"/>
      <c r="Q280" s="101"/>
      <c r="R280" s="101"/>
      <c r="S280" s="101"/>
      <c r="T280" s="101"/>
      <c r="U280" s="101"/>
    </row>
    <row r="281" spans="1:23" s="6" customFormat="1" ht="12.75" customHeight="1" outlineLevel="1">
      <c r="A281" s="64"/>
      <c r="B281" s="64"/>
      <c r="C281" s="62"/>
      <c r="D281" s="159"/>
      <c r="E281" s="129"/>
      <c r="F281" s="101"/>
      <c r="G281" s="101"/>
      <c r="H281" s="101"/>
      <c r="I281" s="101"/>
      <c r="J281" s="101"/>
      <c r="K281" s="101"/>
      <c r="L281" s="101"/>
      <c r="M281" s="101"/>
      <c r="N281" s="101"/>
      <c r="O281" s="101"/>
      <c r="P281" s="101"/>
      <c r="Q281" s="101"/>
      <c r="R281" s="101"/>
      <c r="S281" s="101"/>
      <c r="T281" s="101"/>
      <c r="U281" s="101"/>
    </row>
    <row r="282" spans="1:23" s="175" customFormat="1" ht="12.75" customHeight="1" outlineLevel="1">
      <c r="A282" s="90"/>
      <c r="B282" s="90"/>
      <c r="C282" s="91"/>
      <c r="D282" s="293"/>
      <c r="E282" s="95" t="str">
        <f t="shared" ref="E282:T282" si="109" xml:space="preserve"> E$240</f>
        <v>Value of year 4 RFI adjustments at the end of AMP7 - Water-N+</v>
      </c>
      <c r="F282" s="95">
        <f t="shared" si="109"/>
        <v>0</v>
      </c>
      <c r="G282" s="95" t="str">
        <f t="shared" si="109"/>
        <v>£m</v>
      </c>
      <c r="H282" s="95">
        <f t="shared" si="109"/>
        <v>22.754303872695345</v>
      </c>
      <c r="I282" s="95">
        <f t="shared" si="109"/>
        <v>0</v>
      </c>
      <c r="J282" s="95">
        <f t="shared" si="109"/>
        <v>0</v>
      </c>
      <c r="K282" s="95">
        <f t="shared" si="109"/>
        <v>0</v>
      </c>
      <c r="L282" s="95">
        <f t="shared" si="109"/>
        <v>0</v>
      </c>
      <c r="M282" s="95">
        <f t="shared" si="109"/>
        <v>0</v>
      </c>
      <c r="N282" s="95">
        <f t="shared" si="109"/>
        <v>0</v>
      </c>
      <c r="O282" s="95">
        <f t="shared" si="109"/>
        <v>0</v>
      </c>
      <c r="P282" s="95">
        <f t="shared" si="109"/>
        <v>0</v>
      </c>
      <c r="Q282" s="95">
        <f t="shared" si="109"/>
        <v>0</v>
      </c>
      <c r="R282" s="95">
        <f t="shared" si="109"/>
        <v>0</v>
      </c>
      <c r="S282" s="95">
        <f t="shared" si="109"/>
        <v>0</v>
      </c>
      <c r="T282" s="95">
        <f t="shared" si="109"/>
        <v>22.754303872695345</v>
      </c>
      <c r="U282" s="95">
        <f xml:space="preserve"> U$240</f>
        <v>0</v>
      </c>
      <c r="V282" s="95">
        <f xml:space="preserve"> V$240</f>
        <v>0</v>
      </c>
      <c r="W282" s="95">
        <f xml:space="preserve"> W$240</f>
        <v>0</v>
      </c>
    </row>
    <row r="283" spans="1:23" s="175" customFormat="1" ht="12.75" customHeight="1" outlineLevel="1">
      <c r="A283" s="90"/>
      <c r="B283" s="90"/>
      <c r="C283" s="91"/>
      <c r="D283" s="293"/>
      <c r="E283" s="95" t="str">
        <f t="shared" ref="E283:W283" si="110" xml:space="preserve"> E$270</f>
        <v>Value of year 5 RFI adjustments at the end of AMP7 - Water-N+</v>
      </c>
      <c r="F283" s="95">
        <f t="shared" si="110"/>
        <v>0</v>
      </c>
      <c r="G283" s="95" t="str">
        <f t="shared" si="110"/>
        <v>£m</v>
      </c>
      <c r="H283" s="95">
        <f t="shared" si="110"/>
        <v>1055.1306946354568</v>
      </c>
      <c r="I283" s="95">
        <f t="shared" si="110"/>
        <v>0</v>
      </c>
      <c r="J283" s="95">
        <f t="shared" si="110"/>
        <v>0</v>
      </c>
      <c r="K283" s="95">
        <f t="shared" si="110"/>
        <v>0</v>
      </c>
      <c r="L283" s="95">
        <f t="shared" si="110"/>
        <v>0</v>
      </c>
      <c r="M283" s="95">
        <f t="shared" si="110"/>
        <v>0</v>
      </c>
      <c r="N283" s="95">
        <f t="shared" si="110"/>
        <v>0</v>
      </c>
      <c r="O283" s="95">
        <f t="shared" si="110"/>
        <v>0</v>
      </c>
      <c r="P283" s="95">
        <f t="shared" si="110"/>
        <v>0</v>
      </c>
      <c r="Q283" s="95">
        <f t="shared" si="110"/>
        <v>0</v>
      </c>
      <c r="R283" s="95">
        <f t="shared" si="110"/>
        <v>0</v>
      </c>
      <c r="S283" s="95">
        <f t="shared" si="110"/>
        <v>0</v>
      </c>
      <c r="T283" s="95">
        <f t="shared" si="110"/>
        <v>1055.1306946354568</v>
      </c>
      <c r="U283" s="95">
        <f t="shared" si="110"/>
        <v>0</v>
      </c>
      <c r="V283" s="95">
        <f t="shared" si="110"/>
        <v>0</v>
      </c>
      <c r="W283" s="95">
        <f t="shared" si="110"/>
        <v>0</v>
      </c>
    </row>
    <row r="284" spans="1:23" s="175" customFormat="1" ht="12.75" customHeight="1" outlineLevel="1">
      <c r="A284" s="90"/>
      <c r="B284" s="90"/>
      <c r="C284" s="91"/>
      <c r="D284" s="293"/>
      <c r="E284" s="295" t="s">
        <v>376</v>
      </c>
      <c r="F284" s="295"/>
      <c r="G284" s="295" t="s">
        <v>97</v>
      </c>
      <c r="H284" s="186">
        <f xml:space="preserve"> SUM(J284:W284)</f>
        <v>1077.8849985081522</v>
      </c>
      <c r="I284" s="186"/>
      <c r="J284" s="186">
        <f xml:space="preserve"> J282 + J283</f>
        <v>0</v>
      </c>
      <c r="K284" s="186">
        <f t="shared" ref="K284:W284" si="111" xml:space="preserve"> K282 + K283</f>
        <v>0</v>
      </c>
      <c r="L284" s="186">
        <f t="shared" si="111"/>
        <v>0</v>
      </c>
      <c r="M284" s="186">
        <f t="shared" si="111"/>
        <v>0</v>
      </c>
      <c r="N284" s="186">
        <f t="shared" si="111"/>
        <v>0</v>
      </c>
      <c r="O284" s="186">
        <f t="shared" si="111"/>
        <v>0</v>
      </c>
      <c r="P284" s="186">
        <f t="shared" si="111"/>
        <v>0</v>
      </c>
      <c r="Q284" s="186">
        <f t="shared" si="111"/>
        <v>0</v>
      </c>
      <c r="R284" s="186">
        <f t="shared" si="111"/>
        <v>0</v>
      </c>
      <c r="S284" s="186">
        <f t="shared" si="111"/>
        <v>0</v>
      </c>
      <c r="T284" s="186">
        <f t="shared" si="111"/>
        <v>1077.8849985081522</v>
      </c>
      <c r="U284" s="186">
        <f t="shared" si="111"/>
        <v>0</v>
      </c>
      <c r="V284" s="186">
        <f t="shared" si="111"/>
        <v>0</v>
      </c>
      <c r="W284" s="186">
        <f t="shared" si="111"/>
        <v>0</v>
      </c>
    </row>
    <row r="285" spans="1:23" s="175" customFormat="1" ht="12.75" customHeight="1" outlineLevel="1">
      <c r="A285" s="90"/>
      <c r="B285" s="90"/>
      <c r="C285" s="91"/>
      <c r="D285" s="293"/>
      <c r="E285" s="295"/>
      <c r="F285" s="295"/>
      <c r="G285" s="295"/>
      <c r="H285" s="186"/>
      <c r="I285" s="186"/>
      <c r="J285" s="186"/>
      <c r="K285" s="186"/>
      <c r="L285" s="186"/>
      <c r="M285" s="186"/>
      <c r="N285" s="186"/>
      <c r="O285" s="186"/>
      <c r="P285" s="186"/>
      <c r="Q285" s="186"/>
      <c r="R285" s="186"/>
      <c r="S285" s="186"/>
      <c r="T285" s="186"/>
      <c r="U285" s="186"/>
      <c r="V285" s="186"/>
      <c r="W285" s="186"/>
    </row>
    <row r="286" spans="1:23" s="175" customFormat="1" ht="12.75" customHeight="1" outlineLevel="1">
      <c r="A286" s="90"/>
      <c r="B286" s="90"/>
      <c r="C286" s="91"/>
      <c r="D286" s="293"/>
      <c r="E286" s="153" t="str">
        <f xml:space="preserve"> E$263</f>
        <v>Value of year 4 RFI adjustments at the end of AMP7 - Water Res</v>
      </c>
      <c r="F286" s="153">
        <f t="shared" ref="F286:W286" si="112" xml:space="preserve"> F$263</f>
        <v>0</v>
      </c>
      <c r="G286" s="153" t="str">
        <f t="shared" si="112"/>
        <v>£m</v>
      </c>
      <c r="H286" s="276">
        <f t="shared" si="112"/>
        <v>-3.5902056469464569</v>
      </c>
      <c r="I286" s="276">
        <f t="shared" si="112"/>
        <v>0</v>
      </c>
      <c r="J286" s="276">
        <f t="shared" si="112"/>
        <v>0</v>
      </c>
      <c r="K286" s="276">
        <f t="shared" si="112"/>
        <v>0</v>
      </c>
      <c r="L286" s="276">
        <f t="shared" si="112"/>
        <v>0</v>
      </c>
      <c r="M286" s="276">
        <f t="shared" si="112"/>
        <v>0</v>
      </c>
      <c r="N286" s="276">
        <f t="shared" si="112"/>
        <v>0</v>
      </c>
      <c r="O286" s="276">
        <f t="shared" si="112"/>
        <v>0</v>
      </c>
      <c r="P286" s="276">
        <f t="shared" si="112"/>
        <v>0</v>
      </c>
      <c r="Q286" s="276">
        <f t="shared" si="112"/>
        <v>0</v>
      </c>
      <c r="R286" s="276">
        <f t="shared" si="112"/>
        <v>0</v>
      </c>
      <c r="S286" s="276">
        <f t="shared" si="112"/>
        <v>0</v>
      </c>
      <c r="T286" s="276">
        <f t="shared" si="112"/>
        <v>-3.5902056469464569</v>
      </c>
      <c r="U286" s="276">
        <f t="shared" si="112"/>
        <v>0</v>
      </c>
      <c r="V286" s="276">
        <f t="shared" si="112"/>
        <v>0</v>
      </c>
      <c r="W286" s="276">
        <f t="shared" si="112"/>
        <v>0</v>
      </c>
    </row>
    <row r="287" spans="1:23" s="175" customFormat="1" ht="12.75" customHeight="1" outlineLevel="1">
      <c r="A287" s="90"/>
      <c r="B287" s="90"/>
      <c r="C287" s="91"/>
      <c r="D287" s="293"/>
      <c r="E287" s="153" t="str">
        <f xml:space="preserve"> E$278</f>
        <v>Value of year 5 RFI adjustments at the end of AMP7 - Water Res</v>
      </c>
      <c r="F287" s="153">
        <f t="shared" ref="F287:W287" si="113" xml:space="preserve"> F$278</f>
        <v>0</v>
      </c>
      <c r="G287" s="153" t="str">
        <f t="shared" si="113"/>
        <v>£m</v>
      </c>
      <c r="H287" s="276">
        <f t="shared" si="113"/>
        <v>83.485525417293104</v>
      </c>
      <c r="I287" s="276">
        <f t="shared" si="113"/>
        <v>0</v>
      </c>
      <c r="J287" s="276">
        <f t="shared" si="113"/>
        <v>0</v>
      </c>
      <c r="K287" s="276">
        <f t="shared" si="113"/>
        <v>0</v>
      </c>
      <c r="L287" s="276">
        <f t="shared" si="113"/>
        <v>0</v>
      </c>
      <c r="M287" s="276">
        <f t="shared" si="113"/>
        <v>0</v>
      </c>
      <c r="N287" s="276">
        <f t="shared" si="113"/>
        <v>0</v>
      </c>
      <c r="O287" s="276">
        <f t="shared" si="113"/>
        <v>0</v>
      </c>
      <c r="P287" s="276">
        <f t="shared" si="113"/>
        <v>0</v>
      </c>
      <c r="Q287" s="276">
        <f t="shared" si="113"/>
        <v>0</v>
      </c>
      <c r="R287" s="276">
        <f t="shared" si="113"/>
        <v>0</v>
      </c>
      <c r="S287" s="276">
        <f t="shared" si="113"/>
        <v>0</v>
      </c>
      <c r="T287" s="276">
        <f t="shared" si="113"/>
        <v>83.485525417293104</v>
      </c>
      <c r="U287" s="276">
        <f t="shared" si="113"/>
        <v>0</v>
      </c>
      <c r="V287" s="276">
        <f t="shared" si="113"/>
        <v>0</v>
      </c>
      <c r="W287" s="276">
        <f t="shared" si="113"/>
        <v>0</v>
      </c>
    </row>
    <row r="288" spans="1:23" s="175" customFormat="1" ht="12.75" customHeight="1" outlineLevel="1">
      <c r="A288" s="90"/>
      <c r="B288" s="90"/>
      <c r="C288" s="91"/>
      <c r="D288" s="293"/>
      <c r="E288" s="295" t="s">
        <v>377</v>
      </c>
      <c r="F288" s="295"/>
      <c r="G288" s="295" t="s">
        <v>97</v>
      </c>
      <c r="H288" s="186">
        <f xml:space="preserve"> SUM(J288:W288)</f>
        <v>79.895319770346646</v>
      </c>
      <c r="I288" s="186"/>
      <c r="J288" s="186">
        <f xml:space="preserve"> J286 + J287</f>
        <v>0</v>
      </c>
      <c r="K288" s="186">
        <f t="shared" ref="K288:W288" si="114" xml:space="preserve"> K286 + K287</f>
        <v>0</v>
      </c>
      <c r="L288" s="186">
        <f t="shared" si="114"/>
        <v>0</v>
      </c>
      <c r="M288" s="186">
        <f t="shared" si="114"/>
        <v>0</v>
      </c>
      <c r="N288" s="186">
        <f t="shared" si="114"/>
        <v>0</v>
      </c>
      <c r="O288" s="186">
        <f t="shared" si="114"/>
        <v>0</v>
      </c>
      <c r="P288" s="186">
        <f t="shared" si="114"/>
        <v>0</v>
      </c>
      <c r="Q288" s="186">
        <f t="shared" si="114"/>
        <v>0</v>
      </c>
      <c r="R288" s="186">
        <f t="shared" si="114"/>
        <v>0</v>
      </c>
      <c r="S288" s="186">
        <f t="shared" si="114"/>
        <v>0</v>
      </c>
      <c r="T288" s="186">
        <f t="shared" si="114"/>
        <v>79.895319770346646</v>
      </c>
      <c r="U288" s="186">
        <f t="shared" si="114"/>
        <v>0</v>
      </c>
      <c r="V288" s="186">
        <f t="shared" si="114"/>
        <v>0</v>
      </c>
      <c r="W288" s="186">
        <f t="shared" si="114"/>
        <v>0</v>
      </c>
    </row>
    <row r="289" spans="1:21" ht="12.75" customHeight="1">
      <c r="A289" s="63"/>
      <c r="C289" s="110"/>
      <c r="E289" s="74"/>
    </row>
    <row r="290" spans="1:21" s="118" customFormat="1" ht="13.2">
      <c r="A290" s="118" t="s">
        <v>232</v>
      </c>
      <c r="C290" s="119"/>
      <c r="D290" s="120"/>
      <c r="E290" s="119"/>
      <c r="F290" s="121"/>
    </row>
    <row r="291" spans="1:21" ht="13.2">
      <c r="A291"/>
      <c r="B291"/>
      <c r="C291"/>
      <c r="D291"/>
      <c r="E291"/>
      <c r="F291"/>
      <c r="G291"/>
      <c r="H291"/>
      <c r="I291"/>
      <c r="J291"/>
      <c r="K291"/>
      <c r="L291"/>
      <c r="M291"/>
      <c r="N291"/>
      <c r="O291"/>
      <c r="P291"/>
      <c r="Q291"/>
      <c r="R291"/>
      <c r="S291"/>
      <c r="T291"/>
      <c r="U291"/>
    </row>
    <row r="292" spans="1:21" ht="12.75" hidden="1" customHeight="1"/>
    <row r="293" spans="1:21" ht="12.75" hidden="1" customHeight="1"/>
    <row r="294" spans="1:21" ht="12.75" hidden="1" customHeight="1"/>
    <row r="295" spans="1:21" ht="12.75" hidden="1" customHeight="1"/>
    <row r="296" spans="1:21" ht="12.75" hidden="1" customHeight="1"/>
    <row r="297" spans="1:21" ht="12.75" hidden="1" customHeight="1"/>
    <row r="298" spans="1:21" ht="12.75" hidden="1" customHeight="1"/>
    <row r="299" spans="1:21" ht="12.75" hidden="1" customHeight="1"/>
    <row r="300" spans="1:21" ht="12.75" hidden="1" customHeight="1"/>
    <row r="301" spans="1:21" ht="12.75" hidden="1" customHeight="1"/>
    <row r="302" spans="1:21" ht="12.75" hidden="1" customHeight="1"/>
    <row r="303" spans="1:21" ht="12.75" hidden="1" customHeight="1"/>
    <row r="304" spans="1:21"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sheetData>
  <dataConsolidate/>
  <conditionalFormatting sqref="V3:W3">
    <cfRule type="cellIs" dxfId="69" priority="30" operator="equal">
      <formula>#REF!</formula>
    </cfRule>
    <cfRule type="cellIs" dxfId="68" priority="33" stopIfTrue="1" operator="equal">
      <formula>#REF!</formula>
    </cfRule>
    <cfRule type="cellIs" dxfId="67" priority="34" stopIfTrue="1" operator="equal">
      <formula>#REF!</formula>
    </cfRule>
  </conditionalFormatting>
  <conditionalFormatting sqref="J178:W178">
    <cfRule type="cellIs" dxfId="66" priority="15" stopIfTrue="1" operator="notEqual">
      <formula>0</formula>
    </cfRule>
    <cfRule type="cellIs" dxfId="65" priority="16" stopIfTrue="1" operator="equal">
      <formula>""</formula>
    </cfRule>
  </conditionalFormatting>
  <conditionalFormatting sqref="F178">
    <cfRule type="cellIs" dxfId="64" priority="5" stopIfTrue="1" operator="notEqual">
      <formula>0</formula>
    </cfRule>
    <cfRule type="cellIs" dxfId="63" priority="6" stopIfTrue="1" operator="equal">
      <formula>""</formula>
    </cfRule>
  </conditionalFormatting>
  <conditionalFormatting sqref="F2">
    <cfRule type="cellIs" dxfId="62" priority="3" stopIfTrue="1" operator="notEqual">
      <formula>0</formula>
    </cfRule>
    <cfRule type="cellIs" dxfId="61" priority="4" stopIfTrue="1" operator="equal">
      <formula>""</formula>
    </cfRule>
  </conditionalFormatting>
  <conditionalFormatting sqref="F3">
    <cfRule type="cellIs" dxfId="60" priority="1" stopIfTrue="1" operator="notEqual">
      <formula>0</formula>
    </cfRule>
    <cfRule type="cellIs" dxfId="59" priority="2" stopIfTrue="1" operator="equal">
      <formula>""</formula>
    </cfRule>
  </conditionalFormatting>
  <pageMargins left="0.7" right="0.7" top="0.75" bottom="0.75" header="0.3" footer="0.3"/>
  <pageSetup paperSize="9" scale="28"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26" stopIfTrue="1" operator="equal" id="{7092DFC0-82AF-4858-ACE6-0B6603049FA4}">
            <xm:f xml:space="preserve"> Inputs!$F$20</xm:f>
            <x14:dxf>
              <fill>
                <patternFill>
                  <bgColor indexed="44"/>
                </patternFill>
              </fill>
            </x14:dxf>
          </x14:cfRule>
          <x14:cfRule type="cellIs" priority="27" stopIfTrue="1" operator="equal" id="{B6C5F008-E939-4B2C-B147-F82DC7A00153}">
            <xm:f>Inputs!$F$19</xm:f>
            <x14:dxf>
              <fill>
                <patternFill>
                  <bgColor indexed="47"/>
                </patternFill>
              </fill>
            </x14:dxf>
          </x14:cfRule>
          <xm:sqref>J3:W3</xm:sqref>
        </x14:conditionalFormatting>
        <x14:conditionalFormatting xmlns:xm="http://schemas.microsoft.com/office/excel/2006/main">
          <x14:cfRule type="cellIs" priority="25" operator="equal" id="{10D3ECC9-9502-4916-B665-F1523F8D176B}">
            <xm:f>Inputs!$F$21</xm:f>
            <x14:dxf>
              <fill>
                <patternFill>
                  <bgColor rgb="FFD9D9D9"/>
                </patternFill>
              </fill>
            </x14:dxf>
          </x14:cfRule>
          <xm:sqref>K3:W3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outlinePr summaryBelow="0" summaryRight="0"/>
    <pageSetUpPr fitToPage="1"/>
  </sheetPr>
  <dimension ref="A1:W247"/>
  <sheetViews>
    <sheetView showGridLines="0" zoomScale="90" zoomScaleNormal="90" workbookViewId="0">
      <pane xSplit="9" ySplit="5" topLeftCell="J102" activePane="bottomRight" state="frozen"/>
      <selection pane="topRight" activeCell="J1" sqref="J1"/>
      <selection pane="bottomLeft" activeCell="A6" sqref="A6"/>
      <selection pane="bottomRight"/>
    </sheetView>
  </sheetViews>
  <sheetFormatPr defaultColWidth="0" defaultRowHeight="13.2" zeroHeight="1" outlineLevelRow="1"/>
  <cols>
    <col min="1" max="1" width="1.44140625" style="64" customWidth="1"/>
    <col min="2" max="2" width="1.44140625" style="63" customWidth="1"/>
    <col min="3" max="3" width="1.44140625" style="62" customWidth="1"/>
    <col min="4" max="4" width="1.44140625" style="61" customWidth="1"/>
    <col min="5" max="5" width="76.44140625" style="57" bestFit="1" customWidth="1"/>
    <col min="6" max="6" width="12.5546875" style="57" customWidth="1"/>
    <col min="7" max="7" width="11.5546875" style="57" customWidth="1"/>
    <col min="8" max="8" width="15.5546875" style="57" customWidth="1"/>
    <col min="9" max="9" width="2.5546875" style="101" customWidth="1"/>
    <col min="10" max="21" width="12.5546875" style="57" customWidth="1"/>
    <col min="22" max="23" width="12.5546875" customWidth="1"/>
    <col min="24" max="16384" width="9" style="6" hidden="1"/>
  </cols>
  <sheetData>
    <row r="1" spans="1:23" ht="28.2">
      <c r="A1" s="213" t="str">
        <f ca="1" xml:space="preserve"> RIGHT(CELL("filename", $A$1), LEN(CELL("filename", $A$1)) - SEARCH("]", CELL("filename", $A$1)))</f>
        <v>Wastewater Network-Plus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82" t="str">
        <f xml:space="preserve"> Time!E$105</f>
        <v>Timeline label</v>
      </c>
      <c r="F3" s="158">
        <f xml:space="preserve"> Check!F$24</f>
        <v>3</v>
      </c>
      <c r="G3" s="82" t="str">
        <f xml:space="preserve"> Check!G$24</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A6" s="90"/>
      <c r="B6" s="90"/>
      <c r="C6" s="91"/>
      <c r="D6" s="161"/>
      <c r="E6" s="109"/>
      <c r="F6" s="56"/>
      <c r="G6" s="111"/>
      <c r="H6" s="56"/>
      <c r="I6" s="6"/>
      <c r="J6" s="109"/>
      <c r="K6" s="109"/>
      <c r="L6" s="109"/>
      <c r="M6" s="109"/>
      <c r="N6" s="109"/>
      <c r="O6" s="109"/>
      <c r="P6" s="109"/>
      <c r="Q6" s="109"/>
      <c r="R6" s="109"/>
      <c r="S6" s="109"/>
      <c r="T6" s="109"/>
      <c r="U6" s="109"/>
    </row>
    <row r="7" spans="1:23">
      <c r="A7" s="115" t="s">
        <v>297</v>
      </c>
      <c r="B7" s="115"/>
      <c r="C7" s="114"/>
      <c r="D7" s="115"/>
      <c r="E7" s="115"/>
      <c r="F7" s="115"/>
      <c r="G7" s="115"/>
      <c r="H7" s="115"/>
      <c r="I7" s="115"/>
      <c r="J7" s="115"/>
      <c r="K7" s="115"/>
      <c r="L7" s="115"/>
      <c r="M7" s="115"/>
      <c r="N7" s="115"/>
      <c r="O7" s="115"/>
      <c r="P7" s="115"/>
      <c r="Q7" s="115"/>
      <c r="R7" s="115"/>
      <c r="S7" s="115"/>
      <c r="T7" s="115"/>
      <c r="U7" s="115"/>
      <c r="V7" s="115"/>
      <c r="W7" s="115"/>
    </row>
    <row r="8" spans="1:23">
      <c r="A8" s="63"/>
      <c r="C8" s="110"/>
      <c r="E8" s="113"/>
      <c r="V8" s="57"/>
      <c r="W8" s="57"/>
    </row>
    <row r="9" spans="1:23" s="129" customFormat="1" outlineLevel="1">
      <c r="A9" s="66"/>
      <c r="B9" s="66" t="s">
        <v>378</v>
      </c>
      <c r="C9" s="73"/>
      <c r="D9" s="71"/>
      <c r="E9" s="74"/>
      <c r="F9" s="74"/>
      <c r="G9" s="74"/>
      <c r="H9" s="74"/>
      <c r="J9" s="74"/>
      <c r="K9" s="74"/>
      <c r="L9" s="74"/>
      <c r="M9" s="74"/>
      <c r="N9" s="74"/>
      <c r="O9" s="74"/>
      <c r="P9" s="74"/>
      <c r="Q9" s="74"/>
      <c r="R9" s="74"/>
      <c r="S9" s="74"/>
      <c r="T9" s="74"/>
      <c r="U9" s="74"/>
      <c r="V9" s="74"/>
      <c r="W9" s="74"/>
    </row>
    <row r="10" spans="1:23" s="129" customFormat="1" outlineLevel="1">
      <c r="A10" s="66"/>
      <c r="B10" s="66"/>
      <c r="C10" s="73"/>
      <c r="D10" s="71"/>
      <c r="E10" s="74"/>
      <c r="F10" s="74"/>
      <c r="G10" s="74"/>
      <c r="H10" s="74"/>
      <c r="J10" s="74"/>
      <c r="K10" s="74"/>
      <c r="L10" s="74"/>
      <c r="M10" s="74"/>
      <c r="N10" s="74"/>
      <c r="O10" s="74"/>
      <c r="P10" s="74"/>
      <c r="Q10" s="74"/>
      <c r="R10" s="74"/>
      <c r="S10" s="74"/>
      <c r="T10" s="74"/>
      <c r="U10" s="74"/>
      <c r="V10" s="74"/>
      <c r="W10" s="74"/>
    </row>
    <row r="11" spans="1:23" s="129" customFormat="1" outlineLevel="1">
      <c r="A11" s="66"/>
      <c r="B11" s="66"/>
      <c r="C11" s="73"/>
      <c r="D11" s="71"/>
      <c r="E11" s="112" t="str">
        <f xml:space="preserve"> Inputs!E$115</f>
        <v>Allowed revenue - WW-N+ (base year 2019/2020)</v>
      </c>
      <c r="F11" s="112">
        <f xml:space="preserve"> Inputs!F$115</f>
        <v>846.00854667717704</v>
      </c>
      <c r="G11" s="112" t="str">
        <f xml:space="preserve"> Inputs!G$115</f>
        <v>£m</v>
      </c>
      <c r="H11" s="112">
        <f xml:space="preserve"> Inputs!H$115</f>
        <v>0</v>
      </c>
      <c r="I11" s="112">
        <f xml:space="preserve"> Inputs!I$115</f>
        <v>0</v>
      </c>
      <c r="J11" s="112">
        <f xml:space="preserve"> Inputs!J$115</f>
        <v>0</v>
      </c>
      <c r="K11" s="112">
        <f xml:space="preserve"> Inputs!K$115</f>
        <v>0</v>
      </c>
      <c r="L11" s="112">
        <f xml:space="preserve"> Inputs!L$115</f>
        <v>0</v>
      </c>
      <c r="M11" s="112">
        <f xml:space="preserve"> Inputs!M$115</f>
        <v>0</v>
      </c>
      <c r="N11" s="112">
        <f xml:space="preserve"> Inputs!N$115</f>
        <v>0</v>
      </c>
      <c r="O11" s="112">
        <f xml:space="preserve"> Inputs!O$115</f>
        <v>0</v>
      </c>
      <c r="P11" s="112">
        <f xml:space="preserve"> Inputs!P$115</f>
        <v>0</v>
      </c>
      <c r="Q11" s="112">
        <f xml:space="preserve"> Inputs!Q$115</f>
        <v>0</v>
      </c>
      <c r="R11" s="112">
        <f xml:space="preserve"> Inputs!R$115</f>
        <v>0</v>
      </c>
      <c r="S11" s="112">
        <f xml:space="preserve"> Inputs!S$115</f>
        <v>0</v>
      </c>
      <c r="T11" s="112">
        <f xml:space="preserve"> Inputs!T$115</f>
        <v>0</v>
      </c>
      <c r="U11" s="112">
        <f xml:space="preserve"> Inputs!U$115</f>
        <v>0</v>
      </c>
      <c r="V11" s="112">
        <f xml:space="preserve"> Inputs!V$115</f>
        <v>0</v>
      </c>
      <c r="W11" s="112">
        <f xml:space="preserve"> Inputs!W$115</f>
        <v>0</v>
      </c>
    </row>
    <row r="12" spans="1:23" s="85" customFormat="1" outlineLevel="1">
      <c r="A12" s="302"/>
      <c r="B12" s="302"/>
      <c r="C12" s="303"/>
      <c r="D12" s="304"/>
      <c r="E12" s="81" t="str">
        <f xml:space="preserve"> 'Indices and K factor'!E$64</f>
        <v>Revenue indexation - WW-N+</v>
      </c>
      <c r="F12" s="81">
        <f xml:space="preserve"> 'Indices and K factor'!F$64</f>
        <v>0</v>
      </c>
      <c r="G12" s="81" t="str">
        <f xml:space="preserve"> 'Indices and K factor'!G$64</f>
        <v>factor</v>
      </c>
      <c r="H12" s="81">
        <f xml:space="preserve"> 'Indices and K factor'!H$64</f>
        <v>0</v>
      </c>
      <c r="I12" s="81">
        <f xml:space="preserve"> 'Indices and K factor'!I$64</f>
        <v>0</v>
      </c>
      <c r="J12" s="228">
        <f xml:space="preserve"> 'Indices and K factor'!J$64</f>
        <v>0</v>
      </c>
      <c r="K12" s="228">
        <f xml:space="preserve"> 'Indices and K factor'!K$64</f>
        <v>0</v>
      </c>
      <c r="L12" s="228">
        <f xml:space="preserve"> 'Indices and K factor'!L$64</f>
        <v>0</v>
      </c>
      <c r="M12" s="228">
        <f xml:space="preserve"> 'Indices and K factor'!M$64</f>
        <v>0</v>
      </c>
      <c r="N12" s="228">
        <f xml:space="preserve"> 'Indices and K factor'!N$64</f>
        <v>0</v>
      </c>
      <c r="O12" s="228">
        <f xml:space="preserve"> 'Indices and K factor'!O$64</f>
        <v>0</v>
      </c>
      <c r="P12" s="228">
        <f xml:space="preserve"> 'Indices and K factor'!P$64</f>
        <v>1.0149672591206735</v>
      </c>
      <c r="Q12" s="228">
        <f xml:space="preserve"> 'Indices and K factor'!Q$64</f>
        <v>0.99742995391705058</v>
      </c>
      <c r="R12" s="228">
        <f xml:space="preserve"> 'Indices and K factor'!R$64</f>
        <v>0.99972951420714939</v>
      </c>
      <c r="S12" s="228">
        <f xml:space="preserve"> 'Indices and K factor'!S$64</f>
        <v>1.0495773882559158</v>
      </c>
      <c r="T12" s="228">
        <f xml:space="preserve"> 'Indices and K factor'!T$64</f>
        <v>1.096859294871795</v>
      </c>
      <c r="U12" s="228">
        <f xml:space="preserve"> 'Indices and K factor'!U$64</f>
        <v>0</v>
      </c>
      <c r="V12" s="228">
        <f xml:space="preserve"> 'Indices and K factor'!V$64</f>
        <v>0</v>
      </c>
      <c r="W12" s="228">
        <f xml:space="preserve"> 'Indices and K factor'!W$64</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outlineLevel="1">
      <c r="A14" s="305"/>
      <c r="B14" s="305"/>
      <c r="C14" s="306"/>
      <c r="E14" s="205" t="s">
        <v>211</v>
      </c>
      <c r="F14" s="307"/>
      <c r="G14" s="307" t="s">
        <v>97</v>
      </c>
      <c r="H14" s="210">
        <f xml:space="preserve"> SUM(J14:W14)</f>
        <v>4455.7778703543136</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858.67097581359883</v>
      </c>
      <c r="Q14" s="210">
        <f t="shared" si="0"/>
        <v>856.46415183566671</v>
      </c>
      <c r="R14" s="210">
        <f t="shared" si="0"/>
        <v>856.23249045050932</v>
      </c>
      <c r="S14" s="210">
        <f t="shared" si="0"/>
        <v>898.68226106690395</v>
      </c>
      <c r="T14" s="210">
        <f t="shared" si="0"/>
        <v>985.72799118763464</v>
      </c>
      <c r="U14" s="210">
        <f t="shared" si="0"/>
        <v>0</v>
      </c>
      <c r="V14" s="210">
        <f t="shared" si="0"/>
        <v>0</v>
      </c>
      <c r="W14" s="210">
        <f t="shared" si="0"/>
        <v>0</v>
      </c>
    </row>
    <row r="15" spans="1:23" outlineLevel="1">
      <c r="A15" s="63"/>
      <c r="C15" s="110"/>
      <c r="E15" s="113"/>
      <c r="V15" s="57"/>
      <c r="W15" s="57"/>
    </row>
    <row r="16" spans="1:23">
      <c r="A16" s="115" t="s">
        <v>306</v>
      </c>
      <c r="B16" s="115"/>
      <c r="C16" s="114"/>
      <c r="D16" s="115"/>
      <c r="E16" s="115"/>
      <c r="F16" s="115"/>
      <c r="G16" s="115"/>
      <c r="H16" s="115"/>
      <c r="I16" s="115"/>
      <c r="J16" s="115"/>
      <c r="K16" s="115"/>
      <c r="L16" s="115"/>
      <c r="M16" s="115"/>
      <c r="N16" s="115"/>
      <c r="O16" s="115"/>
      <c r="P16" s="115"/>
      <c r="Q16" s="115"/>
      <c r="R16" s="115"/>
      <c r="S16" s="115"/>
      <c r="T16" s="115"/>
      <c r="U16" s="115"/>
      <c r="V16" s="115"/>
      <c r="W16" s="115"/>
    </row>
    <row r="17" spans="1:23">
      <c r="A17" s="63"/>
      <c r="C17" s="110"/>
      <c r="E17" s="113"/>
      <c r="V17" s="57"/>
      <c r="W17" s="57"/>
    </row>
    <row r="18" spans="1:23" s="129" customFormat="1" outlineLevel="1">
      <c r="A18" s="66"/>
      <c r="B18" s="66" t="s">
        <v>197</v>
      </c>
      <c r="C18" s="73"/>
      <c r="D18" s="71"/>
      <c r="E18" s="74"/>
      <c r="F18" s="74"/>
      <c r="G18" s="74"/>
      <c r="H18" s="74"/>
      <c r="J18" s="74"/>
      <c r="K18" s="74"/>
      <c r="L18" s="74"/>
      <c r="M18" s="74"/>
      <c r="N18" s="74"/>
      <c r="O18" s="74"/>
      <c r="P18" s="74"/>
      <c r="Q18" s="74"/>
      <c r="R18" s="74"/>
      <c r="S18" s="74"/>
      <c r="T18" s="74"/>
      <c r="U18" s="74"/>
      <c r="V18" s="74"/>
      <c r="W18" s="74"/>
    </row>
    <row r="19" spans="1:23" s="129" customFormat="1" outlineLevel="1">
      <c r="A19" s="66"/>
      <c r="B19" s="66"/>
      <c r="C19" s="73"/>
      <c r="D19" s="71"/>
      <c r="E19" s="74"/>
      <c r="F19" s="74"/>
      <c r="G19" s="74"/>
      <c r="H19" s="74"/>
      <c r="J19" s="74"/>
      <c r="K19" s="74"/>
      <c r="L19" s="74"/>
      <c r="M19" s="74"/>
      <c r="N19" s="74"/>
      <c r="O19" s="74"/>
      <c r="P19" s="74"/>
      <c r="Q19" s="74"/>
      <c r="R19" s="74"/>
      <c r="S19" s="74"/>
      <c r="T19" s="74"/>
      <c r="U19" s="74"/>
      <c r="V19" s="74"/>
      <c r="W19" s="74"/>
    </row>
    <row r="20" spans="1:23" s="129" customFormat="1" outlineLevel="1">
      <c r="A20" s="66"/>
      <c r="B20" s="66"/>
      <c r="C20" s="73"/>
      <c r="D20" s="71"/>
      <c r="E20" s="112" t="str">
        <f xml:space="preserve"> Inputs!E$123</f>
        <v>Total blind year adjustment - WW-N+ (base year 2019/2020)</v>
      </c>
      <c r="F20" s="112">
        <f xml:space="preserve"> Inputs!F$123</f>
        <v>5.8280451866404714</v>
      </c>
      <c r="G20" s="112" t="str">
        <f xml:space="preserve"> Inputs!G$123</f>
        <v>£m</v>
      </c>
      <c r="H20" s="112">
        <f xml:space="preserve"> Inputs!H$123</f>
        <v>0</v>
      </c>
      <c r="I20" s="112">
        <f xml:space="preserve"> Inputs!I$123</f>
        <v>0</v>
      </c>
      <c r="J20" s="112">
        <f xml:space="preserve"> Inputs!J$123</f>
        <v>0</v>
      </c>
      <c r="K20" s="112">
        <f xml:space="preserve"> Inputs!K$123</f>
        <v>0</v>
      </c>
      <c r="L20" s="112">
        <f xml:space="preserve"> Inputs!L$123</f>
        <v>0</v>
      </c>
      <c r="M20" s="112">
        <f xml:space="preserve"> Inputs!M$123</f>
        <v>0</v>
      </c>
      <c r="N20" s="112">
        <f xml:space="preserve"> Inputs!N$123</f>
        <v>0</v>
      </c>
      <c r="O20" s="112">
        <f xml:space="preserve"> Inputs!O$123</f>
        <v>0</v>
      </c>
      <c r="P20" s="112">
        <f xml:space="preserve"> Inputs!P$123</f>
        <v>0</v>
      </c>
      <c r="Q20" s="112">
        <f xml:space="preserve"> Inputs!Q$123</f>
        <v>0</v>
      </c>
      <c r="R20" s="112">
        <f xml:space="preserve"> Inputs!R$123</f>
        <v>0</v>
      </c>
      <c r="S20" s="112">
        <f xml:space="preserve"> Inputs!S$123</f>
        <v>0</v>
      </c>
      <c r="T20" s="112">
        <f xml:space="preserve"> Inputs!T$123</f>
        <v>0</v>
      </c>
      <c r="U20" s="112">
        <f xml:space="preserve"> Inputs!U$123</f>
        <v>0</v>
      </c>
      <c r="V20" s="112">
        <f xml:space="preserve"> Inputs!V$123</f>
        <v>0</v>
      </c>
      <c r="W20" s="112">
        <f xml:space="preserve"> Inputs!W$123</f>
        <v>0</v>
      </c>
    </row>
    <row r="21" spans="1:23" s="129" customFormat="1" outlineLevel="1">
      <c r="A21" s="66"/>
      <c r="B21" s="66"/>
      <c r="C21" s="73"/>
      <c r="D21" s="71"/>
      <c r="E21" s="112" t="str">
        <f xml:space="preserve"> Inputs!E$125</f>
        <v xml:space="preserve">Blind year profiling factor - WW-N+ </v>
      </c>
      <c r="F21" s="112">
        <f xml:space="preserve"> Inputs!F$125</f>
        <v>0</v>
      </c>
      <c r="G21" s="112" t="str">
        <f xml:space="preserve"> Inputs!G$125</f>
        <v>%</v>
      </c>
      <c r="H21" s="36">
        <f xml:space="preserve"> Inputs!H$125</f>
        <v>1</v>
      </c>
      <c r="I21" s="36">
        <f xml:space="preserve"> Inputs!I$125</f>
        <v>0</v>
      </c>
      <c r="J21" s="36">
        <f xml:space="preserve"> Inputs!J$125</f>
        <v>0</v>
      </c>
      <c r="K21" s="36">
        <f xml:space="preserve"> Inputs!K$125</f>
        <v>0</v>
      </c>
      <c r="L21" s="36">
        <f xml:space="preserve"> Inputs!L$125</f>
        <v>0</v>
      </c>
      <c r="M21" s="36">
        <f xml:space="preserve"> Inputs!M$125</f>
        <v>0</v>
      </c>
      <c r="N21" s="36">
        <f xml:space="preserve"> Inputs!N$125</f>
        <v>0</v>
      </c>
      <c r="O21" s="36">
        <f xml:space="preserve"> Inputs!O$125</f>
        <v>0</v>
      </c>
      <c r="P21" s="36">
        <f xml:space="preserve"> Inputs!P$125</f>
        <v>0</v>
      </c>
      <c r="Q21" s="36">
        <f xml:space="preserve"> Inputs!Q$125</f>
        <v>0</v>
      </c>
      <c r="R21" s="36">
        <f xml:space="preserve"> Inputs!R$125</f>
        <v>0</v>
      </c>
      <c r="S21" s="36">
        <f xml:space="preserve"> Inputs!S$125</f>
        <v>0</v>
      </c>
      <c r="T21" s="36">
        <f xml:space="preserve"> Inputs!T$125</f>
        <v>1</v>
      </c>
      <c r="U21" s="36">
        <f xml:space="preserve"> Inputs!U$125</f>
        <v>0</v>
      </c>
      <c r="V21" s="36">
        <f xml:space="preserve"> Inputs!V$125</f>
        <v>0</v>
      </c>
      <c r="W21" s="36">
        <f xml:space="preserve"> Inputs!W$125</f>
        <v>0</v>
      </c>
    </row>
    <row r="22" spans="1:23" s="129" customFormat="1" outlineLevel="1">
      <c r="A22" s="66"/>
      <c r="B22" s="66"/>
      <c r="C22" s="73"/>
      <c r="D22" s="71"/>
      <c r="E22" s="129" t="s">
        <v>379</v>
      </c>
      <c r="F22" s="112"/>
      <c r="G22" s="70" t="s">
        <v>97</v>
      </c>
      <c r="H22" s="83">
        <f xml:space="preserve"> SUM(J22:W22)</f>
        <v>5.8280451866404714</v>
      </c>
      <c r="I22" s="86"/>
      <c r="J22" s="83">
        <f xml:space="preserve"> J21 * $F$20</f>
        <v>0</v>
      </c>
      <c r="K22" s="83">
        <f t="shared" ref="K22:W22" si="1" xml:space="preserve"> K21 * $F$20</f>
        <v>0</v>
      </c>
      <c r="L22" s="83">
        <f t="shared" si="1"/>
        <v>0</v>
      </c>
      <c r="M22" s="83">
        <f t="shared" si="1"/>
        <v>0</v>
      </c>
      <c r="N22" s="83">
        <f t="shared" si="1"/>
        <v>0</v>
      </c>
      <c r="O22" s="83">
        <f t="shared" si="1"/>
        <v>0</v>
      </c>
      <c r="P22" s="83">
        <f t="shared" si="1"/>
        <v>0</v>
      </c>
      <c r="Q22" s="83">
        <f t="shared" si="1"/>
        <v>0</v>
      </c>
      <c r="R22" s="83">
        <f t="shared" si="1"/>
        <v>0</v>
      </c>
      <c r="S22" s="83">
        <f t="shared" si="1"/>
        <v>0</v>
      </c>
      <c r="T22" s="83">
        <f t="shared" si="1"/>
        <v>5.8280451866404714</v>
      </c>
      <c r="U22" s="83">
        <f t="shared" si="1"/>
        <v>0</v>
      </c>
      <c r="V22" s="83">
        <f t="shared" si="1"/>
        <v>0</v>
      </c>
      <c r="W22" s="83">
        <f t="shared" si="1"/>
        <v>0</v>
      </c>
    </row>
    <row r="23" spans="1:23" s="129" customFormat="1" outlineLevel="1">
      <c r="A23" s="66"/>
      <c r="B23" s="66"/>
      <c r="C23" s="73"/>
      <c r="D23" s="71"/>
      <c r="F23" s="112"/>
      <c r="G23" s="112"/>
      <c r="H23" s="74"/>
      <c r="J23" s="74"/>
      <c r="K23" s="74"/>
      <c r="L23" s="74"/>
      <c r="M23" s="74"/>
      <c r="N23" s="74"/>
      <c r="O23" s="74"/>
      <c r="P23" s="74"/>
      <c r="Q23" s="74"/>
      <c r="R23" s="74"/>
      <c r="S23" s="74"/>
      <c r="T23" s="74"/>
      <c r="U23" s="74"/>
      <c r="V23" s="74"/>
      <c r="W23" s="74"/>
    </row>
    <row r="24" spans="1:23" s="129" customFormat="1" outlineLevel="1">
      <c r="A24" s="66"/>
      <c r="B24" s="66"/>
      <c r="C24" s="73"/>
      <c r="D24" s="71"/>
      <c r="E24" s="36" t="str">
        <f xml:space="preserve"> Inputs!E$63</f>
        <v>Discount rate</v>
      </c>
      <c r="F24" s="36">
        <f xml:space="preserve"> Inputs!F$63</f>
        <v>2.92E-2</v>
      </c>
      <c r="G24" s="36" t="str">
        <f xml:space="preserve"> Inputs!G$63</f>
        <v>%</v>
      </c>
      <c r="H24" s="36">
        <f xml:space="preserve"> Inputs!H$63</f>
        <v>0</v>
      </c>
      <c r="I24" s="36">
        <f xml:space="preserve"> Inputs!I$63</f>
        <v>0</v>
      </c>
      <c r="J24" s="36">
        <f xml:space="preserve"> Inputs!J$63</f>
        <v>0</v>
      </c>
      <c r="K24" s="36">
        <f xml:space="preserve"> Inputs!K$63</f>
        <v>0</v>
      </c>
      <c r="L24" s="36">
        <f xml:space="preserve"> Inputs!L$63</f>
        <v>0</v>
      </c>
      <c r="M24" s="36">
        <f xml:space="preserve"> Inputs!M$63</f>
        <v>0</v>
      </c>
      <c r="N24" s="36">
        <f xml:space="preserve"> Inputs!N$63</f>
        <v>0</v>
      </c>
      <c r="O24" s="36">
        <f xml:space="preserve"> Inputs!O$63</f>
        <v>0</v>
      </c>
      <c r="P24" s="36">
        <f xml:space="preserve"> Inputs!P$63</f>
        <v>0</v>
      </c>
      <c r="Q24" s="36">
        <f xml:space="preserve"> Inputs!Q$63</f>
        <v>0</v>
      </c>
      <c r="R24" s="36">
        <f xml:space="preserve"> Inputs!R$63</f>
        <v>0</v>
      </c>
      <c r="S24" s="36">
        <f xml:space="preserve"> Inputs!S$63</f>
        <v>0</v>
      </c>
      <c r="T24" s="36">
        <f xml:space="preserve"> Inputs!T$63</f>
        <v>0</v>
      </c>
      <c r="U24" s="36">
        <f xml:space="preserve"> Inputs!U$63</f>
        <v>0</v>
      </c>
      <c r="V24" s="36">
        <f xml:space="preserve"> Inputs!V$63</f>
        <v>0</v>
      </c>
      <c r="W24" s="36">
        <f xml:space="preserve"> Inputs!W$63</f>
        <v>0</v>
      </c>
    </row>
    <row r="25" spans="1:23" s="129" customFormat="1" outlineLevel="1">
      <c r="A25" s="66"/>
      <c r="B25" s="66"/>
      <c r="C25" s="73"/>
      <c r="D25" s="71"/>
      <c r="E25" s="129" t="str">
        <f xml:space="preserve"> E$22</f>
        <v>Blind year adjustment (profiled) - WW-N+ (base year 2019/20)</v>
      </c>
      <c r="F25" s="129">
        <f t="shared" ref="F25:W25" si="2" xml:space="preserve"> F$22</f>
        <v>0</v>
      </c>
      <c r="G25" s="129" t="str">
        <f t="shared" si="2"/>
        <v>£m</v>
      </c>
      <c r="H25" s="148">
        <f t="shared" si="2"/>
        <v>5.8280451866404714</v>
      </c>
      <c r="I25" s="148">
        <f t="shared" si="2"/>
        <v>0</v>
      </c>
      <c r="J25" s="148">
        <f t="shared" si="2"/>
        <v>0</v>
      </c>
      <c r="K25" s="148">
        <f t="shared" si="2"/>
        <v>0</v>
      </c>
      <c r="L25" s="148">
        <f t="shared" si="2"/>
        <v>0</v>
      </c>
      <c r="M25" s="148">
        <f t="shared" si="2"/>
        <v>0</v>
      </c>
      <c r="N25" s="148">
        <f t="shared" si="2"/>
        <v>0</v>
      </c>
      <c r="O25" s="148">
        <f t="shared" si="2"/>
        <v>0</v>
      </c>
      <c r="P25" s="148">
        <f t="shared" si="2"/>
        <v>0</v>
      </c>
      <c r="Q25" s="148">
        <f t="shared" si="2"/>
        <v>0</v>
      </c>
      <c r="R25" s="148">
        <f t="shared" si="2"/>
        <v>0</v>
      </c>
      <c r="S25" s="148">
        <f t="shared" si="2"/>
        <v>0</v>
      </c>
      <c r="T25" s="148">
        <f t="shared" si="2"/>
        <v>5.8280451866404714</v>
      </c>
      <c r="U25" s="148">
        <f t="shared" si="2"/>
        <v>0</v>
      </c>
      <c r="V25" s="148">
        <f t="shared" si="2"/>
        <v>0</v>
      </c>
      <c r="W25" s="148">
        <f t="shared" si="2"/>
        <v>0</v>
      </c>
    </row>
    <row r="26" spans="1:23" customFormat="1" ht="12.75" customHeight="1" outlineLevel="1">
      <c r="A26" s="64"/>
      <c r="B26" s="63"/>
      <c r="C26" s="62"/>
      <c r="D26" s="61"/>
      <c r="E26" s="45" t="str">
        <f xml:space="preserve"> Time!E$63</f>
        <v>Forecast period counter</v>
      </c>
      <c r="F26" s="45">
        <f xml:space="preserve"> Time!F$63</f>
        <v>0</v>
      </c>
      <c r="G26" s="45" t="str">
        <f xml:space="preserve"> Time!G$63</f>
        <v>counter</v>
      </c>
      <c r="H26" s="45">
        <f xml:space="preserve"> Time!H$63</f>
        <v>0</v>
      </c>
      <c r="I26" s="45">
        <f xml:space="preserve"> Time!I$63</f>
        <v>0</v>
      </c>
      <c r="J26" s="45">
        <f xml:space="preserve"> Time!J$63</f>
        <v>0</v>
      </c>
      <c r="K26" s="45">
        <f xml:space="preserve"> Time!K$63</f>
        <v>0</v>
      </c>
      <c r="L26" s="45">
        <f xml:space="preserve"> Time!L$63</f>
        <v>0</v>
      </c>
      <c r="M26" s="45">
        <f xml:space="preserve"> Time!M$63</f>
        <v>0</v>
      </c>
      <c r="N26" s="45">
        <f xml:space="preserve"> Time!N$63</f>
        <v>0</v>
      </c>
      <c r="O26" s="45">
        <f xml:space="preserve"> Time!O$63</f>
        <v>0</v>
      </c>
      <c r="P26" s="45">
        <f xml:space="preserve"> Time!P$63</f>
        <v>1</v>
      </c>
      <c r="Q26" s="45">
        <f xml:space="preserve"> Time!Q$63</f>
        <v>2</v>
      </c>
      <c r="R26" s="45">
        <f xml:space="preserve"> Time!R$63</f>
        <v>3</v>
      </c>
      <c r="S26" s="45">
        <f xml:space="preserve"> Time!S$63</f>
        <v>4</v>
      </c>
      <c r="T26" s="45">
        <f xml:space="preserve"> Time!T$63</f>
        <v>5</v>
      </c>
      <c r="U26" s="45">
        <f xml:space="preserve"> Time!U$63</f>
        <v>0</v>
      </c>
      <c r="V26" s="45">
        <f xml:space="preserve"> Time!V$63</f>
        <v>0</v>
      </c>
      <c r="W26" s="45">
        <f xml:space="preserve"> Time!W$63</f>
        <v>0</v>
      </c>
    </row>
    <row r="27" spans="1:23" customFormat="1" ht="12.75" customHeight="1" outlineLevel="1">
      <c r="A27" s="64"/>
      <c r="B27" s="64"/>
      <c r="C27" s="62"/>
      <c r="D27" s="61"/>
      <c r="E27" s="129" t="s">
        <v>380</v>
      </c>
      <c r="F27" s="18"/>
      <c r="G27" s="74" t="s">
        <v>97</v>
      </c>
      <c r="H27" s="70">
        <f xml:space="preserve"> SUM( J27:W27 )</f>
        <v>6.7301043504250302</v>
      </c>
      <c r="I27" s="204"/>
      <c r="J27" s="70">
        <f xml:space="preserve"> J25 * ( 1 + $F$24 ) ^ J26</f>
        <v>0</v>
      </c>
      <c r="K27" s="70">
        <f t="shared" ref="K27:W27" si="3" xml:space="preserve"> K25 * ( 1 + $F$24 ) ^ K26</f>
        <v>0</v>
      </c>
      <c r="L27" s="70">
        <f t="shared" si="3"/>
        <v>0</v>
      </c>
      <c r="M27" s="70">
        <f t="shared" si="3"/>
        <v>0</v>
      </c>
      <c r="N27" s="70">
        <f t="shared" si="3"/>
        <v>0</v>
      </c>
      <c r="O27" s="70">
        <f t="shared" si="3"/>
        <v>0</v>
      </c>
      <c r="P27" s="70">
        <f t="shared" si="3"/>
        <v>0</v>
      </c>
      <c r="Q27" s="70">
        <f t="shared" si="3"/>
        <v>0</v>
      </c>
      <c r="R27" s="70">
        <f t="shared" si="3"/>
        <v>0</v>
      </c>
      <c r="S27" s="70">
        <f t="shared" si="3"/>
        <v>0</v>
      </c>
      <c r="T27" s="70">
        <f t="shared" si="3"/>
        <v>6.7301043504250302</v>
      </c>
      <c r="U27" s="70">
        <f t="shared" si="3"/>
        <v>0</v>
      </c>
      <c r="V27" s="70">
        <f t="shared" si="3"/>
        <v>0</v>
      </c>
      <c r="W27" s="70">
        <f t="shared" si="3"/>
        <v>0</v>
      </c>
    </row>
    <row r="28" spans="1:23" customFormat="1" ht="12.75" customHeight="1" outlineLevel="1">
      <c r="A28" s="64"/>
      <c r="B28" s="64"/>
      <c r="C28" s="62"/>
      <c r="D28" s="61"/>
      <c r="E28" s="129"/>
      <c r="F28" s="18"/>
      <c r="G28" s="74"/>
      <c r="H28" s="18"/>
      <c r="I28" s="204"/>
      <c r="J28" s="18"/>
      <c r="K28" s="18"/>
      <c r="L28" s="18"/>
      <c r="M28" s="112"/>
      <c r="N28" s="112"/>
      <c r="O28" s="112"/>
      <c r="P28" s="112"/>
      <c r="Q28" s="112"/>
      <c r="R28" s="112"/>
      <c r="S28" s="112"/>
      <c r="T28" s="112"/>
      <c r="U28" s="112"/>
      <c r="V28" s="18"/>
      <c r="W28" s="18"/>
    </row>
    <row r="29" spans="1:23" outlineLevel="1">
      <c r="B29" s="64"/>
      <c r="E29" s="43" t="str">
        <f xml:space="preserve"> 'Indices and K factor'!E$22</f>
        <v>CPIH: Nov - Nov index (prior year) inflating from 2019/20</v>
      </c>
      <c r="F29" s="43">
        <f xml:space="preserve"> 'Indices and K factor'!F$22</f>
        <v>0</v>
      </c>
      <c r="G29" s="43" t="str">
        <f xml:space="preserve"> 'Indices and K factor'!G$22</f>
        <v>index</v>
      </c>
      <c r="H29" s="43">
        <f xml:space="preserve"> 'Indices and K factor'!H$22</f>
        <v>0</v>
      </c>
      <c r="I29" s="43">
        <f xml:space="preserve"> 'Indices and K factor'!I$22</f>
        <v>0</v>
      </c>
      <c r="J29" s="43">
        <f xml:space="preserve"> 'Indices and K factor'!J$22</f>
        <v>0</v>
      </c>
      <c r="K29" s="43">
        <f xml:space="preserve"> 'Indices and K factor'!K$22</f>
        <v>0</v>
      </c>
      <c r="L29" s="43">
        <f xml:space="preserve"> 'Indices and K factor'!L$22</f>
        <v>0</v>
      </c>
      <c r="M29" s="43">
        <f xml:space="preserve"> 'Indices and K factor'!M$22</f>
        <v>0</v>
      </c>
      <c r="N29" s="43">
        <f xml:space="preserve"> 'Indices and K factor'!N$22</f>
        <v>0</v>
      </c>
      <c r="O29" s="43">
        <f xml:space="preserve"> 'Indices and K factor'!O$22</f>
        <v>0</v>
      </c>
      <c r="P29" s="43">
        <f xml:space="preserve"> 'Indices and K factor'!P$22</f>
        <v>1.0149672591206735</v>
      </c>
      <c r="Q29" s="43">
        <f xml:space="preserve"> 'Indices and K factor'!Q$22</f>
        <v>1.020579981290926</v>
      </c>
      <c r="R29" s="43">
        <f xml:space="preserve"> 'Indices and K factor'!R$22</f>
        <v>1.0673526660430308</v>
      </c>
      <c r="S29" s="43">
        <f xml:space="preserve"> 'Indices and K factor'!S$22</f>
        <v>1.167446211412535</v>
      </c>
      <c r="T29" s="43">
        <f xml:space="preserve"> 'Indices and K factor'!T$22</f>
        <v>1.2165481758652947</v>
      </c>
      <c r="U29" s="43">
        <f xml:space="preserve"> 'Indices and K factor'!U$22</f>
        <v>0</v>
      </c>
      <c r="V29" s="43">
        <f xml:space="preserve"> 'Indices and K factor'!V$22</f>
        <v>0</v>
      </c>
      <c r="W29" s="43">
        <f xml:space="preserve"> 'Indices and K factor'!W$22</f>
        <v>0</v>
      </c>
    </row>
    <row r="30" spans="1:23" s="34" customFormat="1" outlineLevel="1">
      <c r="A30" s="54"/>
      <c r="B30" s="54"/>
      <c r="C30" s="52"/>
      <c r="D30" s="94"/>
      <c r="E30" s="101" t="str">
        <f xml:space="preserve"> E$27</f>
        <v>Blind year adjustment inc. financing rate adjustment - WW-N+ (base year 2019/2020)</v>
      </c>
      <c r="F30" s="101">
        <f t="shared" ref="F30:W30" si="4" xml:space="preserve"> F$27</f>
        <v>0</v>
      </c>
      <c r="G30" s="101" t="str">
        <f t="shared" si="4"/>
        <v>£m</v>
      </c>
      <c r="H30" s="93">
        <f t="shared" si="4"/>
        <v>6.7301043504250302</v>
      </c>
      <c r="I30" s="93">
        <f t="shared" si="4"/>
        <v>0</v>
      </c>
      <c r="J30" s="93">
        <f t="shared" si="4"/>
        <v>0</v>
      </c>
      <c r="K30" s="93">
        <f t="shared" si="4"/>
        <v>0</v>
      </c>
      <c r="L30" s="93">
        <f t="shared" si="4"/>
        <v>0</v>
      </c>
      <c r="M30" s="93">
        <f t="shared" si="4"/>
        <v>0</v>
      </c>
      <c r="N30" s="93">
        <f t="shared" si="4"/>
        <v>0</v>
      </c>
      <c r="O30" s="93">
        <f t="shared" si="4"/>
        <v>0</v>
      </c>
      <c r="P30" s="93">
        <f t="shared" si="4"/>
        <v>0</v>
      </c>
      <c r="Q30" s="93">
        <f t="shared" si="4"/>
        <v>0</v>
      </c>
      <c r="R30" s="93">
        <f t="shared" si="4"/>
        <v>0</v>
      </c>
      <c r="S30" s="93">
        <f t="shared" si="4"/>
        <v>0</v>
      </c>
      <c r="T30" s="93">
        <f t="shared" si="4"/>
        <v>6.7301043504250302</v>
      </c>
      <c r="U30" s="93">
        <f t="shared" si="4"/>
        <v>0</v>
      </c>
      <c r="V30" s="93">
        <f t="shared" si="4"/>
        <v>0</v>
      </c>
      <c r="W30" s="93">
        <f t="shared" si="4"/>
        <v>0</v>
      </c>
    </row>
    <row r="31" spans="1:23" s="129" customFormat="1" outlineLevel="1">
      <c r="A31" s="166"/>
      <c r="B31" s="166"/>
      <c r="C31" s="167"/>
      <c r="D31" s="75"/>
      <c r="E31" s="153" t="s">
        <v>381</v>
      </c>
      <c r="F31" s="153"/>
      <c r="G31" s="153" t="s">
        <v>97</v>
      </c>
      <c r="H31" s="276">
        <f xml:space="preserve"> SUM( J31:W31 )</f>
        <v>8.1874961708926541</v>
      </c>
      <c r="I31" s="153"/>
      <c r="J31" s="276">
        <f xml:space="preserve"> J29 * J30</f>
        <v>0</v>
      </c>
      <c r="K31" s="276">
        <f t="shared" ref="K31:T31" si="5" xml:space="preserve"> K29 * K30</f>
        <v>0</v>
      </c>
      <c r="L31" s="276">
        <f xml:space="preserve"> L29 * L30</f>
        <v>0</v>
      </c>
      <c r="M31" s="276">
        <f t="shared" si="5"/>
        <v>0</v>
      </c>
      <c r="N31" s="276">
        <f t="shared" si="5"/>
        <v>0</v>
      </c>
      <c r="O31" s="276">
        <f t="shared" si="5"/>
        <v>0</v>
      </c>
      <c r="P31" s="276">
        <f xml:space="preserve"> P29 * P30</f>
        <v>0</v>
      </c>
      <c r="Q31" s="276">
        <f t="shared" si="5"/>
        <v>0</v>
      </c>
      <c r="R31" s="276">
        <f t="shared" si="5"/>
        <v>0</v>
      </c>
      <c r="S31" s="276">
        <f t="shared" si="5"/>
        <v>0</v>
      </c>
      <c r="T31" s="276">
        <f t="shared" si="5"/>
        <v>8.1874961708926541</v>
      </c>
      <c r="U31" s="276">
        <f xml:space="preserve"> U29 * U30</f>
        <v>0</v>
      </c>
      <c r="V31" s="276">
        <f xml:space="preserve"> V29 * V30</f>
        <v>0</v>
      </c>
      <c r="W31" s="276">
        <f xml:space="preserve"> W29 * W30</f>
        <v>0</v>
      </c>
    </row>
    <row r="32" spans="1:23" s="129" customFormat="1" outlineLevel="1">
      <c r="A32" s="166"/>
      <c r="B32" s="66"/>
      <c r="C32" s="167"/>
      <c r="D32" s="71"/>
      <c r="E32" s="74"/>
      <c r="F32" s="74"/>
      <c r="G32" s="74"/>
      <c r="H32" s="70"/>
      <c r="J32" s="70"/>
      <c r="K32" s="70"/>
      <c r="L32" s="70"/>
      <c r="M32" s="70"/>
      <c r="N32" s="70"/>
      <c r="O32" s="70"/>
      <c r="P32" s="70"/>
      <c r="Q32" s="70"/>
      <c r="R32" s="70"/>
      <c r="S32" s="70"/>
      <c r="T32" s="70"/>
      <c r="U32" s="70"/>
      <c r="V32" s="70"/>
      <c r="W32" s="70"/>
    </row>
    <row r="33" spans="1:23" customFormat="1" ht="12.75" customHeight="1">
      <c r="A33" s="115" t="s">
        <v>315</v>
      </c>
      <c r="B33" s="115"/>
      <c r="C33" s="114"/>
      <c r="D33" s="115"/>
      <c r="E33" s="115"/>
      <c r="F33" s="115"/>
      <c r="G33" s="115"/>
      <c r="H33" s="115"/>
      <c r="I33" s="115"/>
      <c r="J33" s="115"/>
      <c r="K33" s="115"/>
      <c r="L33" s="115"/>
      <c r="M33" s="115"/>
      <c r="N33" s="115"/>
      <c r="O33" s="115"/>
      <c r="P33" s="115"/>
      <c r="Q33" s="115"/>
      <c r="R33" s="115"/>
      <c r="S33" s="115"/>
      <c r="T33" s="115"/>
      <c r="U33" s="115"/>
      <c r="V33" s="115"/>
      <c r="W33" s="115"/>
    </row>
    <row r="34" spans="1:23"/>
    <row r="35" spans="1:23" s="129" customFormat="1" outlineLevel="1">
      <c r="A35" s="66"/>
      <c r="B35" s="66" t="s">
        <v>382</v>
      </c>
      <c r="C35" s="73"/>
      <c r="D35" s="71"/>
      <c r="E35" s="74"/>
      <c r="F35" s="74"/>
      <c r="G35" s="74"/>
      <c r="H35" s="74"/>
      <c r="J35" s="74"/>
      <c r="K35" s="74"/>
      <c r="L35" s="74"/>
      <c r="M35" s="74"/>
      <c r="N35" s="74"/>
      <c r="O35" s="74"/>
      <c r="P35" s="74"/>
      <c r="Q35" s="74"/>
      <c r="R35" s="74"/>
      <c r="S35" s="74"/>
      <c r="T35" s="74"/>
      <c r="U35" s="74"/>
      <c r="V35" s="74"/>
      <c r="W35" s="74"/>
    </row>
    <row r="36" spans="1:23" s="129" customFormat="1" outlineLevel="1">
      <c r="A36" s="66"/>
      <c r="B36" s="66"/>
      <c r="C36" s="73"/>
      <c r="D36" s="71"/>
      <c r="E36" s="74"/>
      <c r="F36" s="74"/>
      <c r="G36" s="74"/>
      <c r="H36" s="74"/>
      <c r="J36" s="74"/>
      <c r="K36" s="74"/>
      <c r="L36" s="74"/>
      <c r="M36" s="74"/>
      <c r="N36" s="74"/>
      <c r="O36" s="74"/>
      <c r="P36" s="74"/>
      <c r="Q36" s="74"/>
      <c r="R36" s="74"/>
      <c r="S36" s="74"/>
      <c r="T36" s="74"/>
      <c r="U36" s="74"/>
      <c r="V36" s="74"/>
      <c r="W36" s="74"/>
    </row>
    <row r="37" spans="1:23" s="129" customFormat="1" outlineLevel="1">
      <c r="A37" s="66"/>
      <c r="B37" s="66"/>
      <c r="C37" s="73"/>
      <c r="D37" s="71"/>
      <c r="E37" s="128" t="str">
        <f t="shared" ref="E37:W37" si="6" xml:space="preserve"> E$14</f>
        <v>Allowed revenue - WW-N+ (base year 2019/2020)</v>
      </c>
      <c r="F37" s="128">
        <f t="shared" si="6"/>
        <v>0</v>
      </c>
      <c r="G37" s="128" t="str">
        <f t="shared" si="6"/>
        <v>£m</v>
      </c>
      <c r="H37" s="35">
        <f t="shared" si="6"/>
        <v>4455.7778703543136</v>
      </c>
      <c r="I37" s="35">
        <f t="shared" si="6"/>
        <v>0</v>
      </c>
      <c r="J37" s="35">
        <f t="shared" si="6"/>
        <v>0</v>
      </c>
      <c r="K37" s="35">
        <f t="shared" si="6"/>
        <v>0</v>
      </c>
      <c r="L37" s="35">
        <f t="shared" si="6"/>
        <v>0</v>
      </c>
      <c r="M37" s="35">
        <f t="shared" si="6"/>
        <v>0</v>
      </c>
      <c r="N37" s="35">
        <f t="shared" si="6"/>
        <v>0</v>
      </c>
      <c r="O37" s="35">
        <f t="shared" si="6"/>
        <v>0</v>
      </c>
      <c r="P37" s="35">
        <f t="shared" si="6"/>
        <v>858.67097581359883</v>
      </c>
      <c r="Q37" s="35">
        <f t="shared" si="6"/>
        <v>856.46415183566671</v>
      </c>
      <c r="R37" s="35">
        <f t="shared" si="6"/>
        <v>856.23249045050932</v>
      </c>
      <c r="S37" s="35">
        <f t="shared" si="6"/>
        <v>898.68226106690395</v>
      </c>
      <c r="T37" s="35">
        <f t="shared" si="6"/>
        <v>985.72799118763464</v>
      </c>
      <c r="U37" s="35">
        <f t="shared" si="6"/>
        <v>0</v>
      </c>
      <c r="V37" s="35">
        <f t="shared" si="6"/>
        <v>0</v>
      </c>
      <c r="W37" s="35">
        <f t="shared" si="6"/>
        <v>0</v>
      </c>
    </row>
    <row r="38" spans="1:23" s="129" customFormat="1" outlineLevel="1">
      <c r="A38" s="66"/>
      <c r="B38" s="66"/>
      <c r="C38" s="73"/>
      <c r="D38" s="71"/>
      <c r="E38" s="35" t="str">
        <f t="shared" ref="E38:W38" si="7" xml:space="preserve"> E$31</f>
        <v>Blind year adjustment inc. financing rate and inflation adjustment (BYA) - WW-N+</v>
      </c>
      <c r="F38" s="35">
        <f t="shared" si="7"/>
        <v>0</v>
      </c>
      <c r="G38" s="35" t="str">
        <f t="shared" si="7"/>
        <v>£m</v>
      </c>
      <c r="H38" s="35">
        <f t="shared" si="7"/>
        <v>8.1874961708926541</v>
      </c>
      <c r="I38" s="35">
        <f t="shared" si="7"/>
        <v>0</v>
      </c>
      <c r="J38" s="35">
        <f xml:space="preserve"> J$31</f>
        <v>0</v>
      </c>
      <c r="K38" s="35">
        <f t="shared" si="7"/>
        <v>0</v>
      </c>
      <c r="L38" s="35">
        <f t="shared" si="7"/>
        <v>0</v>
      </c>
      <c r="M38" s="35">
        <f t="shared" si="7"/>
        <v>0</v>
      </c>
      <c r="N38" s="35">
        <f t="shared" si="7"/>
        <v>0</v>
      </c>
      <c r="O38" s="35">
        <f t="shared" si="7"/>
        <v>0</v>
      </c>
      <c r="P38" s="35">
        <f t="shared" si="7"/>
        <v>0</v>
      </c>
      <c r="Q38" s="35">
        <f t="shared" si="7"/>
        <v>0</v>
      </c>
      <c r="R38" s="35">
        <f t="shared" si="7"/>
        <v>0</v>
      </c>
      <c r="S38" s="35">
        <f t="shared" si="7"/>
        <v>0</v>
      </c>
      <c r="T38" s="35">
        <f t="shared" si="7"/>
        <v>8.1874961708926541</v>
      </c>
      <c r="U38" s="35">
        <f t="shared" si="7"/>
        <v>0</v>
      </c>
      <c r="V38" s="35">
        <f t="shared" si="7"/>
        <v>0</v>
      </c>
      <c r="W38" s="35">
        <f t="shared" si="7"/>
        <v>0</v>
      </c>
    </row>
    <row r="39" spans="1:23" s="129" customFormat="1" outlineLevel="1">
      <c r="A39" s="166"/>
      <c r="B39" s="166"/>
      <c r="C39" s="167"/>
      <c r="D39" s="75"/>
      <c r="E39" s="65" t="str">
        <f t="shared" ref="E39:W39" si="8" xml:space="preserve"> E$108</f>
        <v>RFI - WW-N+</v>
      </c>
      <c r="F39" s="65" t="str">
        <f xml:space="preserve"> F$108</f>
        <v>2 PD LK BCK</v>
      </c>
      <c r="G39" s="65" t="str">
        <f t="shared" si="8"/>
        <v>£m</v>
      </c>
      <c r="H39" s="65">
        <f t="shared" si="8"/>
        <v>88.144348479699289</v>
      </c>
      <c r="I39" s="65">
        <f t="shared" si="8"/>
        <v>0</v>
      </c>
      <c r="J39" s="65">
        <f t="shared" si="8"/>
        <v>0</v>
      </c>
      <c r="K39" s="65">
        <f t="shared" si="8"/>
        <v>0</v>
      </c>
      <c r="L39" s="65">
        <f t="shared" si="8"/>
        <v>0</v>
      </c>
      <c r="M39" s="65">
        <f t="shared" si="8"/>
        <v>0</v>
      </c>
      <c r="N39" s="65">
        <f t="shared" si="8"/>
        <v>0</v>
      </c>
      <c r="O39" s="65">
        <f t="shared" si="8"/>
        <v>0</v>
      </c>
      <c r="P39" s="65">
        <f t="shared" si="8"/>
        <v>0</v>
      </c>
      <c r="Q39" s="65">
        <f t="shared" si="8"/>
        <v>0</v>
      </c>
      <c r="R39" s="65">
        <f t="shared" si="8"/>
        <v>35.732300215420224</v>
      </c>
      <c r="S39" s="65">
        <f t="shared" si="8"/>
        <v>26.79543395153204</v>
      </c>
      <c r="T39" s="65">
        <f t="shared" si="8"/>
        <v>25.616614312747018</v>
      </c>
      <c r="U39" s="65">
        <f t="shared" si="8"/>
        <v>0</v>
      </c>
      <c r="V39" s="65">
        <f t="shared" si="8"/>
        <v>0</v>
      </c>
      <c r="W39" s="65">
        <f t="shared" si="8"/>
        <v>0</v>
      </c>
    </row>
    <row r="40" spans="1:23" s="153" customFormat="1" ht="13.8" outlineLevel="1" thickBot="1">
      <c r="A40" s="82"/>
      <c r="B40" s="82"/>
      <c r="C40" s="180"/>
      <c r="D40" s="181"/>
      <c r="E40" s="216" t="s">
        <v>383</v>
      </c>
      <c r="F40" s="216"/>
      <c r="G40" s="216" t="s">
        <v>97</v>
      </c>
      <c r="H40" s="217">
        <f xml:space="preserve"> SUM(J40:W40)</f>
        <v>4552.1097150049054</v>
      </c>
      <c r="I40" s="217"/>
      <c r="J40" s="218">
        <f xml:space="preserve"> SUM(J37:J39)</f>
        <v>0</v>
      </c>
      <c r="K40" s="218">
        <f xml:space="preserve"> SUM(K37:K39)</f>
        <v>0</v>
      </c>
      <c r="L40" s="218">
        <f t="shared" ref="L40:W40" si="9" xml:space="preserve"> SUM(L37:L39)</f>
        <v>0</v>
      </c>
      <c r="M40" s="218">
        <f t="shared" si="9"/>
        <v>0</v>
      </c>
      <c r="N40" s="218">
        <f t="shared" si="9"/>
        <v>0</v>
      </c>
      <c r="O40" s="218">
        <f t="shared" si="9"/>
        <v>0</v>
      </c>
      <c r="P40" s="218">
        <f t="shared" si="9"/>
        <v>858.67097581359883</v>
      </c>
      <c r="Q40" s="218">
        <f t="shared" si="9"/>
        <v>856.46415183566671</v>
      </c>
      <c r="R40" s="218">
        <f t="shared" si="9"/>
        <v>891.96479066592951</v>
      </c>
      <c r="S40" s="218">
        <f t="shared" si="9"/>
        <v>925.47769501843595</v>
      </c>
      <c r="T40" s="218">
        <f t="shared" si="9"/>
        <v>1019.5321016712744</v>
      </c>
      <c r="U40" s="218">
        <f t="shared" si="9"/>
        <v>0</v>
      </c>
      <c r="V40" s="218">
        <f t="shared" si="9"/>
        <v>0</v>
      </c>
      <c r="W40" s="218">
        <f t="shared" si="9"/>
        <v>0</v>
      </c>
    </row>
    <row r="41" spans="1:23" ht="13.8" outlineLevel="1" thickTop="1"/>
    <row r="42" spans="1:23" outlineLevel="1">
      <c r="E42" s="128" t="str">
        <f t="shared" ref="E42:J42" si="10" xml:space="preserve"> E$40</f>
        <v>Adjusted allowed revenue - WW-N+</v>
      </c>
      <c r="F42" s="128">
        <f t="shared" si="10"/>
        <v>0</v>
      </c>
      <c r="G42" s="128" t="str">
        <f t="shared" si="10"/>
        <v>£m</v>
      </c>
      <c r="H42" s="128">
        <f t="shared" si="10"/>
        <v>4552.1097150049054</v>
      </c>
      <c r="I42" s="128">
        <f t="shared" si="10"/>
        <v>0</v>
      </c>
      <c r="J42" s="128">
        <f t="shared" si="10"/>
        <v>0</v>
      </c>
      <c r="K42" s="128">
        <f t="shared" ref="K42:W42" si="11" xml:space="preserve"> K$40</f>
        <v>0</v>
      </c>
      <c r="L42" s="128">
        <f t="shared" si="11"/>
        <v>0</v>
      </c>
      <c r="M42" s="128">
        <f t="shared" si="11"/>
        <v>0</v>
      </c>
      <c r="N42" s="128">
        <f t="shared" si="11"/>
        <v>0</v>
      </c>
      <c r="O42" s="128">
        <f t="shared" si="11"/>
        <v>0</v>
      </c>
      <c r="P42" s="35">
        <f t="shared" si="11"/>
        <v>858.67097581359883</v>
      </c>
      <c r="Q42" s="35">
        <f t="shared" si="11"/>
        <v>856.46415183566671</v>
      </c>
      <c r="R42" s="35">
        <f t="shared" si="11"/>
        <v>891.96479066592951</v>
      </c>
      <c r="S42" s="35">
        <f t="shared" si="11"/>
        <v>925.47769501843595</v>
      </c>
      <c r="T42" s="35">
        <f t="shared" si="11"/>
        <v>1019.5321016712744</v>
      </c>
      <c r="U42" s="128">
        <f t="shared" si="11"/>
        <v>0</v>
      </c>
      <c r="V42" s="128">
        <f t="shared" si="11"/>
        <v>0</v>
      </c>
      <c r="W42" s="128">
        <f t="shared" si="11"/>
        <v>0</v>
      </c>
    </row>
    <row r="43" spans="1:23" outlineLevel="1">
      <c r="A43" s="63"/>
      <c r="C43" s="110"/>
      <c r="D43" s="61" t="s">
        <v>318</v>
      </c>
      <c r="E43" s="96" t="str">
        <f xml:space="preserve"> Inputs!E$119</f>
        <v xml:space="preserve">Actual Revenue  - WW-N+ </v>
      </c>
      <c r="F43" s="96">
        <f xml:space="preserve"> Inputs!F$119</f>
        <v>0</v>
      </c>
      <c r="G43" s="96" t="str">
        <f xml:space="preserve"> Inputs!G$119</f>
        <v>£m</v>
      </c>
      <c r="H43" s="96">
        <f xml:space="preserve"> Inputs!H$119</f>
        <v>3440.5895882405712</v>
      </c>
      <c r="I43" s="96">
        <f xml:space="preserve"> Inputs!I$119</f>
        <v>0</v>
      </c>
      <c r="J43" s="96">
        <f xml:space="preserve"> Inputs!J$119</f>
        <v>0</v>
      </c>
      <c r="K43" s="96">
        <f xml:space="preserve"> Inputs!K$119</f>
        <v>0</v>
      </c>
      <c r="L43" s="96">
        <f xml:space="preserve"> Inputs!L$119</f>
        <v>0</v>
      </c>
      <c r="M43" s="96">
        <f xml:space="preserve"> Inputs!M$119</f>
        <v>0</v>
      </c>
      <c r="N43" s="96">
        <f xml:space="preserve"> Inputs!N$119</f>
        <v>0</v>
      </c>
      <c r="O43" s="96">
        <f xml:space="preserve"> Inputs!O$119</f>
        <v>0</v>
      </c>
      <c r="P43" s="96">
        <f xml:space="preserve"> Inputs!P$119</f>
        <v>825.63</v>
      </c>
      <c r="Q43" s="96">
        <f xml:space="preserve"> Inputs!Q$119</f>
        <v>833.93600000000004</v>
      </c>
      <c r="R43" s="96">
        <f xml:space="preserve"> Inputs!R$119</f>
        <v>870.49199999999996</v>
      </c>
      <c r="S43" s="96">
        <f xml:space="preserve"> Inputs!S$119</f>
        <v>910.53158824057141</v>
      </c>
      <c r="T43" s="96">
        <f xml:space="preserve"> Inputs!T$119</f>
        <v>0</v>
      </c>
      <c r="U43" s="96">
        <f xml:space="preserve"> Inputs!U$119</f>
        <v>0</v>
      </c>
      <c r="V43" s="96">
        <f xml:space="preserve"> Inputs!V$119</f>
        <v>0</v>
      </c>
      <c r="W43" s="96">
        <f xml:space="preserve"> Inputs!W$119</f>
        <v>0</v>
      </c>
    </row>
    <row r="44" spans="1:23" s="155" customFormat="1" ht="13.8" outlineLevel="1" thickBot="1">
      <c r="A44" s="168"/>
      <c r="B44" s="168"/>
      <c r="C44" s="162"/>
      <c r="D44" s="163"/>
      <c r="E44" s="220" t="s">
        <v>384</v>
      </c>
      <c r="F44" s="216"/>
      <c r="G44" s="216" t="s">
        <v>97</v>
      </c>
      <c r="H44" s="218">
        <f xml:space="preserve"> SUM(J44:W44)</f>
        <v>1111.520126764334</v>
      </c>
      <c r="I44" s="222"/>
      <c r="J44" s="221">
        <f>J42-J43</f>
        <v>0</v>
      </c>
      <c r="K44" s="221">
        <f t="shared" ref="K44:W44" si="12">K42-K43</f>
        <v>0</v>
      </c>
      <c r="L44" s="221">
        <f t="shared" si="12"/>
        <v>0</v>
      </c>
      <c r="M44" s="221">
        <f t="shared" si="12"/>
        <v>0</v>
      </c>
      <c r="N44" s="221">
        <f t="shared" si="12"/>
        <v>0</v>
      </c>
      <c r="O44" s="221">
        <f t="shared" si="12"/>
        <v>0</v>
      </c>
      <c r="P44" s="221">
        <f t="shared" si="12"/>
        <v>33.040975813598834</v>
      </c>
      <c r="Q44" s="221">
        <f t="shared" si="12"/>
        <v>22.528151835666677</v>
      </c>
      <c r="R44" s="221">
        <f t="shared" si="12"/>
        <v>21.472790665929551</v>
      </c>
      <c r="S44" s="221">
        <f t="shared" si="12"/>
        <v>14.946106777864543</v>
      </c>
      <c r="T44" s="221">
        <f t="shared" si="12"/>
        <v>1019.5321016712744</v>
      </c>
      <c r="U44" s="221">
        <f t="shared" si="12"/>
        <v>0</v>
      </c>
      <c r="V44" s="221">
        <f t="shared" si="12"/>
        <v>0</v>
      </c>
      <c r="W44" s="221">
        <f t="shared" si="12"/>
        <v>0</v>
      </c>
    </row>
    <row r="45" spans="1:23" ht="13.8" outlineLevel="1" thickTop="1">
      <c r="A45" s="63"/>
      <c r="C45" s="110"/>
      <c r="E45" s="74"/>
      <c r="J45" s="38"/>
      <c r="K45" s="38"/>
      <c r="L45" s="38"/>
      <c r="M45" s="38"/>
      <c r="N45" s="38"/>
      <c r="O45" s="38"/>
      <c r="P45" s="38"/>
      <c r="Q45" s="38"/>
      <c r="R45" s="38"/>
      <c r="S45" s="38"/>
      <c r="T45" s="38"/>
      <c r="U45" s="38"/>
      <c r="V45" s="38"/>
      <c r="W45" s="38"/>
    </row>
    <row r="46" spans="1:23" outlineLevel="1">
      <c r="A46" s="63"/>
      <c r="B46" s="63" t="s">
        <v>385</v>
      </c>
      <c r="C46" s="110"/>
      <c r="E46" s="74"/>
      <c r="V46" s="57"/>
      <c r="W46" s="57"/>
    </row>
    <row r="47" spans="1:23" outlineLevel="1">
      <c r="A47" s="63"/>
      <c r="C47" s="110"/>
      <c r="E47" s="74"/>
      <c r="V47" s="57"/>
      <c r="W47" s="57"/>
    </row>
    <row r="48" spans="1:23" outlineLevel="1">
      <c r="A48"/>
      <c r="B48"/>
      <c r="C48"/>
      <c r="D48"/>
      <c r="E48" s="113" t="str">
        <f xml:space="preserve"> Inputs!E$69</f>
        <v>Timing delay</v>
      </c>
      <c r="F48" s="113">
        <f xml:space="preserve"> Inputs!F$69</f>
        <v>2</v>
      </c>
      <c r="G48" s="113" t="str">
        <f xml:space="preserve"> Inputs!G$69</f>
        <v>years</v>
      </c>
      <c r="H48" s="113">
        <f xml:space="preserve"> Inputs!H$69</f>
        <v>0</v>
      </c>
      <c r="I48" s="113">
        <f xml:space="preserve"> Inputs!I$69</f>
        <v>0</v>
      </c>
      <c r="J48" s="113">
        <f xml:space="preserve"> Inputs!J$69</f>
        <v>0</v>
      </c>
      <c r="K48" s="113">
        <f xml:space="preserve"> Inputs!K$69</f>
        <v>0</v>
      </c>
      <c r="L48" s="113">
        <f xml:space="preserve"> Inputs!L$69</f>
        <v>0</v>
      </c>
      <c r="M48" s="113">
        <f xml:space="preserve"> Inputs!M$69</f>
        <v>0</v>
      </c>
      <c r="N48" s="113">
        <f xml:space="preserve"> Inputs!N$69</f>
        <v>0</v>
      </c>
      <c r="O48" s="113">
        <f xml:space="preserve"> Inputs!O$69</f>
        <v>0</v>
      </c>
      <c r="P48" s="113">
        <f xml:space="preserve"> Inputs!P$69</f>
        <v>0</v>
      </c>
      <c r="Q48" s="113">
        <f xml:space="preserve"> Inputs!Q$69</f>
        <v>0</v>
      </c>
      <c r="R48" s="113">
        <f xml:space="preserve"> Inputs!R$69</f>
        <v>0</v>
      </c>
      <c r="S48" s="113">
        <f xml:space="preserve"> Inputs!S$69</f>
        <v>0</v>
      </c>
      <c r="T48" s="113">
        <f xml:space="preserve"> Inputs!T$69</f>
        <v>0</v>
      </c>
      <c r="U48" s="113">
        <f xml:space="preserve"> Inputs!U$69</f>
        <v>0</v>
      </c>
      <c r="V48" s="113">
        <f xml:space="preserve"> Inputs!V$69</f>
        <v>0</v>
      </c>
      <c r="W48" s="113">
        <f xml:space="preserve"> Inputs!W$69</f>
        <v>0</v>
      </c>
    </row>
    <row r="49" spans="1:23" outlineLevel="1">
      <c r="E49" s="36" t="str">
        <f xml:space="preserve"> Inputs!E$63</f>
        <v>Discount rate</v>
      </c>
      <c r="F49" s="36">
        <f xml:space="preserve"> Inputs!F$63</f>
        <v>2.92E-2</v>
      </c>
      <c r="G49" s="36" t="str">
        <f xml:space="preserve"> Inputs!G$63</f>
        <v>%</v>
      </c>
      <c r="H49" s="36">
        <f xml:space="preserve"> Inputs!H$63</f>
        <v>0</v>
      </c>
      <c r="I49" s="36">
        <f xml:space="preserve"> Inputs!I$63</f>
        <v>0</v>
      </c>
      <c r="J49" s="36">
        <f xml:space="preserve"> Inputs!J$63</f>
        <v>0</v>
      </c>
      <c r="K49" s="36">
        <f xml:space="preserve"> Inputs!K$63</f>
        <v>0</v>
      </c>
      <c r="L49" s="36">
        <f xml:space="preserve"> Inputs!L$63</f>
        <v>0</v>
      </c>
      <c r="M49" s="36">
        <f xml:space="preserve"> Inputs!M$63</f>
        <v>0</v>
      </c>
      <c r="N49" s="36">
        <f xml:space="preserve"> Inputs!N$63</f>
        <v>0</v>
      </c>
      <c r="O49" s="36">
        <f xml:space="preserve"> Inputs!O$63</f>
        <v>0</v>
      </c>
      <c r="P49" s="36">
        <f xml:space="preserve"> Inputs!P$63</f>
        <v>0</v>
      </c>
      <c r="Q49" s="36">
        <f xml:space="preserve"> Inputs!Q$63</f>
        <v>0</v>
      </c>
      <c r="R49" s="36">
        <f xml:space="preserve"> Inputs!R$63</f>
        <v>0</v>
      </c>
      <c r="S49" s="36">
        <f xml:space="preserve"> Inputs!S$63</f>
        <v>0</v>
      </c>
      <c r="T49" s="36">
        <f xml:space="preserve"> Inputs!T$63</f>
        <v>0</v>
      </c>
      <c r="U49" s="36">
        <f xml:space="preserve"> Inputs!U$63</f>
        <v>0</v>
      </c>
      <c r="V49" s="36">
        <f xml:space="preserve"> Inputs!V$63</f>
        <v>0</v>
      </c>
      <c r="W49" s="36">
        <f xml:space="preserve"> Inputs!W$63</f>
        <v>0</v>
      </c>
    </row>
    <row r="50" spans="1:23" s="172" customFormat="1" outlineLevel="1">
      <c r="A50" s="126"/>
      <c r="B50" s="126"/>
      <c r="C50" s="127"/>
      <c r="D50" s="128"/>
      <c r="E50" s="206" t="str">
        <f>E$44</f>
        <v xml:space="preserve">Revenue Imbalance  - WW-N+ </v>
      </c>
      <c r="F50" s="206">
        <f t="shared" ref="F50:W50" si="13">F$44</f>
        <v>0</v>
      </c>
      <c r="G50" s="206" t="str">
        <f t="shared" si="13"/>
        <v>£m</v>
      </c>
      <c r="H50" s="206">
        <f t="shared" si="13"/>
        <v>1111.520126764334</v>
      </c>
      <c r="I50" s="206">
        <f t="shared" si="13"/>
        <v>0</v>
      </c>
      <c r="J50" s="206">
        <f>J$44</f>
        <v>0</v>
      </c>
      <c r="K50" s="206">
        <f t="shared" si="13"/>
        <v>0</v>
      </c>
      <c r="L50" s="206">
        <f t="shared" si="13"/>
        <v>0</v>
      </c>
      <c r="M50" s="206">
        <f t="shared" si="13"/>
        <v>0</v>
      </c>
      <c r="N50" s="206">
        <f t="shared" si="13"/>
        <v>0</v>
      </c>
      <c r="O50" s="206">
        <f t="shared" si="13"/>
        <v>0</v>
      </c>
      <c r="P50" s="206">
        <f t="shared" si="13"/>
        <v>33.040975813598834</v>
      </c>
      <c r="Q50" s="206">
        <f>Q$44</f>
        <v>22.528151835666677</v>
      </c>
      <c r="R50" s="206">
        <f t="shared" si="13"/>
        <v>21.472790665929551</v>
      </c>
      <c r="S50" s="206">
        <f t="shared" si="13"/>
        <v>14.946106777864543</v>
      </c>
      <c r="T50" s="206">
        <f t="shared" si="13"/>
        <v>1019.5321016712744</v>
      </c>
      <c r="U50" s="206">
        <f t="shared" si="13"/>
        <v>0</v>
      </c>
      <c r="V50" s="206">
        <f t="shared" si="13"/>
        <v>0</v>
      </c>
      <c r="W50" s="206">
        <f t="shared" si="13"/>
        <v>0</v>
      </c>
    </row>
    <row r="51" spans="1:23" s="172" customFormat="1" outlineLevel="1">
      <c r="A51" s="125"/>
      <c r="B51" s="126"/>
      <c r="C51" s="127"/>
      <c r="D51" s="128"/>
      <c r="E51" s="98" t="str">
        <f xml:space="preserve"> Time!E$63</f>
        <v>Forecast period counter</v>
      </c>
      <c r="F51" s="98">
        <f xml:space="preserve"> Time!F$63</f>
        <v>0</v>
      </c>
      <c r="G51" s="98" t="str">
        <f xml:space="preserve"> Time!G$63</f>
        <v>counter</v>
      </c>
      <c r="H51" s="98">
        <f xml:space="preserve"> Time!H$63</f>
        <v>0</v>
      </c>
      <c r="I51" s="98">
        <f xml:space="preserve"> Time!I$63</f>
        <v>0</v>
      </c>
      <c r="J51" s="98">
        <f xml:space="preserve"> Time!J$63</f>
        <v>0</v>
      </c>
      <c r="K51" s="98">
        <f xml:space="preserve"> Time!K$63</f>
        <v>0</v>
      </c>
      <c r="L51" s="98">
        <f xml:space="preserve"> Time!L$63</f>
        <v>0</v>
      </c>
      <c r="M51" s="98">
        <f xml:space="preserve"> Time!M$63</f>
        <v>0</v>
      </c>
      <c r="N51" s="98">
        <f xml:space="preserve"> Time!N$63</f>
        <v>0</v>
      </c>
      <c r="O51" s="98">
        <f xml:space="preserve"> Time!O$63</f>
        <v>0</v>
      </c>
      <c r="P51" s="98">
        <f xml:space="preserve"> Time!P$63</f>
        <v>1</v>
      </c>
      <c r="Q51" s="98">
        <f xml:space="preserve"> Time!Q$63</f>
        <v>2</v>
      </c>
      <c r="R51" s="98">
        <f xml:space="preserve"> Time!R$63</f>
        <v>3</v>
      </c>
      <c r="S51" s="98">
        <f xml:space="preserve"> Time!S$63</f>
        <v>4</v>
      </c>
      <c r="T51" s="98">
        <f xml:space="preserve"> Time!T$63</f>
        <v>5</v>
      </c>
      <c r="U51" s="98">
        <f xml:space="preserve"> Time!U$63</f>
        <v>0</v>
      </c>
      <c r="V51" s="98">
        <f xml:space="preserve"> Time!V$63</f>
        <v>0</v>
      </c>
      <c r="W51" s="98">
        <f xml:space="preserve"> Time!W$63</f>
        <v>0</v>
      </c>
    </row>
    <row r="52" spans="1:23" outlineLevel="1">
      <c r="A52" s="63"/>
      <c r="E52" s="74" t="s">
        <v>386</v>
      </c>
      <c r="G52" s="57" t="s">
        <v>97</v>
      </c>
      <c r="H52" s="94">
        <f xml:space="preserve"> SUM(J52:W52)</f>
        <v>81.606855366034694</v>
      </c>
      <c r="J52" s="94">
        <f xml:space="preserve"> IF( J51 &lt;= $F$48 + 1,  J50 * (1 + $F49) * (1 + $F49), 0 )</f>
        <v>0</v>
      </c>
      <c r="K52" s="94">
        <f t="shared" ref="K52:W52" si="14" xml:space="preserve"> IF( K51 &lt;= $F$48 + 1,  K50 * (1 + $F49) * (1 + $F49), 0 )</f>
        <v>0</v>
      </c>
      <c r="L52" s="94">
        <f t="shared" si="14"/>
        <v>0</v>
      </c>
      <c r="M52" s="94">
        <f t="shared" si="14"/>
        <v>0</v>
      </c>
      <c r="N52" s="94">
        <f t="shared" si="14"/>
        <v>0</v>
      </c>
      <c r="O52" s="94">
        <f t="shared" si="14"/>
        <v>0</v>
      </c>
      <c r="P52" s="94">
        <f t="shared" si="14"/>
        <v>34.998740858730706</v>
      </c>
      <c r="Q52" s="94">
        <f t="shared" si="14"/>
        <v>23.863004306250769</v>
      </c>
      <c r="R52" s="94">
        <f t="shared" si="14"/>
        <v>22.74511020105323</v>
      </c>
      <c r="S52" s="94">
        <f t="shared" si="14"/>
        <v>0</v>
      </c>
      <c r="T52" s="94">
        <f t="shared" si="14"/>
        <v>0</v>
      </c>
      <c r="U52" s="94">
        <f t="shared" si="14"/>
        <v>0</v>
      </c>
      <c r="V52" s="94">
        <f t="shared" si="14"/>
        <v>0</v>
      </c>
      <c r="W52" s="94">
        <f t="shared" si="14"/>
        <v>0</v>
      </c>
    </row>
    <row r="53" spans="1:23" outlineLevel="1">
      <c r="A53" s="63"/>
      <c r="C53" s="110"/>
      <c r="E53" s="74"/>
      <c r="V53" s="57"/>
      <c r="W53" s="57"/>
    </row>
    <row r="54" spans="1:23" outlineLevel="1">
      <c r="B54" s="64"/>
      <c r="D54" s="159"/>
      <c r="E54" s="36" t="str">
        <f xml:space="preserve"> 'Indices and K factor'!E$11</f>
        <v>CPIH: Nov % increase (prior year) - CALC</v>
      </c>
      <c r="F54" s="36">
        <f xml:space="preserve"> 'Indices and K factor'!F$11</f>
        <v>0</v>
      </c>
      <c r="G54" s="36" t="str">
        <f xml:space="preserve"> 'Indices and K factor'!G$11</f>
        <v>%</v>
      </c>
      <c r="H54" s="36">
        <f xml:space="preserve"> 'Indices and K factor'!H$11</f>
        <v>0</v>
      </c>
      <c r="I54" s="36">
        <f xml:space="preserve"> 'Indices and K factor'!I$11</f>
        <v>0</v>
      </c>
      <c r="J54" s="36">
        <f xml:space="preserve"> 'Indices and K factor'!J$11</f>
        <v>0</v>
      </c>
      <c r="K54" s="36">
        <f xml:space="preserve"> 'Indices and K factor'!K$11</f>
        <v>0</v>
      </c>
      <c r="L54" s="36">
        <f xml:space="preserve"> 'Indices and K factor'!L$11</f>
        <v>1.0040040040040039</v>
      </c>
      <c r="M54" s="36">
        <f xml:space="preserve"> 'Indices and K factor'!M$11</f>
        <v>1.0149551345962113</v>
      </c>
      <c r="N54" s="36">
        <f xml:space="preserve"> 'Indices and K factor'!N$11</f>
        <v>1.0284872298624754</v>
      </c>
      <c r="O54" s="36">
        <f xml:space="preserve"> 'Indices and K factor'!O$11</f>
        <v>1.0210124164278893</v>
      </c>
      <c r="P54" s="36">
        <f xml:space="preserve"> 'Indices and K factor'!P$11</f>
        <v>1.0149672591206735</v>
      </c>
      <c r="Q54" s="36">
        <f xml:space="preserve"> 'Indices and K factor'!Q$11</f>
        <v>1.0055299539170506</v>
      </c>
      <c r="R54" s="36">
        <f xml:space="preserve"> 'Indices and K factor'!R$11</f>
        <v>1.0458295142071494</v>
      </c>
      <c r="S54" s="36">
        <f xml:space="preserve"> 'Indices and K factor'!S$11</f>
        <v>1.0937773882559159</v>
      </c>
      <c r="T54" s="36">
        <f xml:space="preserve"> 'Indices and K factor'!T$11</f>
        <v>1.042059294871795</v>
      </c>
      <c r="U54" s="36">
        <f xml:space="preserve"> 'Indices and K factor'!U$11</f>
        <v>1.0312779542070039</v>
      </c>
      <c r="V54" s="36">
        <f xml:space="preserve"> 'Indices and K factor'!V$11</f>
        <v>1.02</v>
      </c>
      <c r="W54" s="36">
        <f xml:space="preserve"> 'Indices and K factor'!W$11</f>
        <v>1.02</v>
      </c>
    </row>
    <row r="55" spans="1:23" outlineLevel="1">
      <c r="B55" s="64"/>
      <c r="D55" s="159"/>
      <c r="E55" s="35" t="str">
        <f xml:space="preserve"> E$52</f>
        <v>Main revenue adjustment - with financing adjustment - WW-N+</v>
      </c>
      <c r="F55" s="35">
        <f xml:space="preserve"> F$52</f>
        <v>0</v>
      </c>
      <c r="G55" s="35" t="str">
        <f xml:space="preserve"> G$52</f>
        <v>£m</v>
      </c>
      <c r="H55" s="35">
        <f xml:space="preserve"> H$52</f>
        <v>81.606855366034694</v>
      </c>
      <c r="I55" s="35">
        <f xml:space="preserve"> I$52</f>
        <v>0</v>
      </c>
      <c r="J55" s="35">
        <f t="shared" ref="J55:W55" si="15" xml:space="preserve"> J$52</f>
        <v>0</v>
      </c>
      <c r="K55" s="35">
        <f t="shared" si="15"/>
        <v>0</v>
      </c>
      <c r="L55" s="35">
        <f t="shared" si="15"/>
        <v>0</v>
      </c>
      <c r="M55" s="35">
        <f t="shared" si="15"/>
        <v>0</v>
      </c>
      <c r="N55" s="35">
        <f t="shared" si="15"/>
        <v>0</v>
      </c>
      <c r="O55" s="35">
        <f t="shared" si="15"/>
        <v>0</v>
      </c>
      <c r="P55" s="35">
        <f t="shared" si="15"/>
        <v>34.998740858730706</v>
      </c>
      <c r="Q55" s="35">
        <f t="shared" si="15"/>
        <v>23.863004306250769</v>
      </c>
      <c r="R55" s="35">
        <f t="shared" si="15"/>
        <v>22.74511020105323</v>
      </c>
      <c r="S55" s="35">
        <f t="shared" si="15"/>
        <v>0</v>
      </c>
      <c r="T55" s="35">
        <f t="shared" si="15"/>
        <v>0</v>
      </c>
      <c r="U55" s="35">
        <f t="shared" si="15"/>
        <v>0</v>
      </c>
      <c r="V55" s="35">
        <f t="shared" si="15"/>
        <v>0</v>
      </c>
      <c r="W55" s="35">
        <f t="shared" si="15"/>
        <v>0</v>
      </c>
    </row>
    <row r="56" spans="1:23" ht="13.8" outlineLevel="1" thickBot="1">
      <c r="B56" s="64"/>
      <c r="D56" s="159"/>
      <c r="E56" s="220" t="s">
        <v>387</v>
      </c>
      <c r="F56" s="216"/>
      <c r="G56" s="216" t="s">
        <v>97</v>
      </c>
      <c r="H56" s="218">
        <f xml:space="preserve"> SUM(J56:W56)</f>
        <v>90.026571697875511</v>
      </c>
      <c r="I56" s="222"/>
      <c r="J56" s="221">
        <f t="shared" ref="J56:T56" si="16" xml:space="preserve"> J55 * K54 * L54</f>
        <v>0</v>
      </c>
      <c r="K56" s="221">
        <f t="shared" si="16"/>
        <v>0</v>
      </c>
      <c r="L56" s="221">
        <f t="shared" si="16"/>
        <v>0</v>
      </c>
      <c r="M56" s="221">
        <f xml:space="preserve"> M55 * N54 * O54</f>
        <v>0</v>
      </c>
      <c r="N56" s="221">
        <f t="shared" si="16"/>
        <v>0</v>
      </c>
      <c r="O56" s="221">
        <f t="shared" si="16"/>
        <v>0</v>
      </c>
      <c r="P56" s="221">
        <f xml:space="preserve"> P55 * Q54 * R54</f>
        <v>36.805127483697454</v>
      </c>
      <c r="Q56" s="221">
        <f xml:space="preserve"> Q55 * R54 * S54</f>
        <v>27.297002176169535</v>
      </c>
      <c r="R56" s="221">
        <f t="shared" si="16"/>
        <v>25.924442038008518</v>
      </c>
      <c r="S56" s="221">
        <f t="shared" si="16"/>
        <v>0</v>
      </c>
      <c r="T56" s="221">
        <f t="shared" si="16"/>
        <v>0</v>
      </c>
      <c r="U56" s="221">
        <f xml:space="preserve"> U55 * V54 * W54</f>
        <v>0</v>
      </c>
      <c r="V56" s="461"/>
      <c r="W56" s="461"/>
    </row>
    <row r="57" spans="1:23" ht="13.8" outlineLevel="1" thickTop="1">
      <c r="B57" s="64"/>
      <c r="D57" s="159"/>
      <c r="E57" s="144"/>
      <c r="V57" s="57"/>
      <c r="W57" s="57"/>
    </row>
    <row r="58" spans="1:23" customFormat="1" ht="12.75" customHeight="1">
      <c r="A58" s="115" t="s">
        <v>334</v>
      </c>
      <c r="B58" s="115"/>
      <c r="C58" s="114"/>
      <c r="D58" s="115"/>
      <c r="E58" s="115"/>
      <c r="F58" s="115"/>
      <c r="G58" s="115"/>
      <c r="H58" s="115"/>
      <c r="I58" s="115"/>
      <c r="J58" s="115"/>
      <c r="K58" s="115"/>
      <c r="L58" s="115"/>
      <c r="M58" s="115"/>
      <c r="N58" s="115"/>
      <c r="O58" s="115"/>
      <c r="P58" s="115"/>
      <c r="Q58" s="115"/>
      <c r="R58" s="115"/>
      <c r="S58" s="115"/>
      <c r="T58" s="115"/>
      <c r="U58" s="115"/>
      <c r="V58" s="115"/>
      <c r="W58" s="115"/>
    </row>
    <row r="59" spans="1:23">
      <c r="A59" s="63"/>
      <c r="C59" s="110"/>
      <c r="E59" s="74"/>
      <c r="J59" s="38"/>
      <c r="K59" s="38"/>
      <c r="L59" s="38"/>
      <c r="M59" s="38"/>
      <c r="N59" s="38"/>
      <c r="O59" s="38"/>
      <c r="P59" s="38"/>
      <c r="Q59" s="38"/>
      <c r="R59" s="38"/>
      <c r="S59" s="38"/>
      <c r="T59" s="38"/>
      <c r="U59" s="38"/>
      <c r="V59" s="38"/>
      <c r="W59" s="38"/>
    </row>
    <row r="60" spans="1:23" outlineLevel="1">
      <c r="A60" s="63"/>
      <c r="B60" s="63" t="s">
        <v>335</v>
      </c>
      <c r="C60" s="110"/>
      <c r="E60" s="130"/>
      <c r="V60" s="57"/>
      <c r="W60" s="57"/>
    </row>
    <row r="61" spans="1:23" outlineLevel="1">
      <c r="A61" s="63"/>
      <c r="C61" s="110"/>
      <c r="E61" s="130"/>
      <c r="V61" s="57"/>
      <c r="W61" s="57"/>
    </row>
    <row r="62" spans="1:23" outlineLevel="1">
      <c r="B62" s="64"/>
      <c r="D62" s="159"/>
      <c r="E62" s="93" t="str">
        <f xml:space="preserve"> E$44</f>
        <v xml:space="preserve">Revenue Imbalance  - WW-N+ </v>
      </c>
      <c r="F62" s="93">
        <f t="shared" ref="F62:W62" si="17" xml:space="preserve"> F$44</f>
        <v>0</v>
      </c>
      <c r="G62" s="93" t="str">
        <f t="shared" si="17"/>
        <v>£m</v>
      </c>
      <c r="H62" s="93">
        <f t="shared" si="17"/>
        <v>1111.520126764334</v>
      </c>
      <c r="I62" s="93">
        <f t="shared" si="17"/>
        <v>0</v>
      </c>
      <c r="J62" s="93">
        <f t="shared" si="17"/>
        <v>0</v>
      </c>
      <c r="K62" s="93">
        <f t="shared" si="17"/>
        <v>0</v>
      </c>
      <c r="L62" s="93">
        <f t="shared" si="17"/>
        <v>0</v>
      </c>
      <c r="M62" s="93">
        <f t="shared" si="17"/>
        <v>0</v>
      </c>
      <c r="N62" s="93">
        <f t="shared" si="17"/>
        <v>0</v>
      </c>
      <c r="O62" s="93">
        <f t="shared" si="17"/>
        <v>0</v>
      </c>
      <c r="P62" s="93">
        <f t="shared" si="17"/>
        <v>33.040975813598834</v>
      </c>
      <c r="Q62" s="93">
        <f t="shared" si="17"/>
        <v>22.528151835666677</v>
      </c>
      <c r="R62" s="93">
        <f t="shared" si="17"/>
        <v>21.472790665929551</v>
      </c>
      <c r="S62" s="93">
        <f t="shared" si="17"/>
        <v>14.946106777864543</v>
      </c>
      <c r="T62" s="93">
        <f t="shared" si="17"/>
        <v>1019.5321016712744</v>
      </c>
      <c r="U62" s="93">
        <f t="shared" si="17"/>
        <v>0</v>
      </c>
      <c r="V62" s="93">
        <f t="shared" si="17"/>
        <v>0</v>
      </c>
      <c r="W62" s="93">
        <f t="shared" si="17"/>
        <v>0</v>
      </c>
    </row>
    <row r="63" spans="1:23" s="129" customFormat="1" outlineLevel="1">
      <c r="A63" s="166"/>
      <c r="B63" s="166"/>
      <c r="C63" s="167"/>
      <c r="D63" s="75"/>
      <c r="E63" s="205" t="str">
        <f xml:space="preserve"> E$40</f>
        <v>Adjusted allowed revenue - WW-N+</v>
      </c>
      <c r="F63" s="205">
        <f t="shared" ref="F63:W63" si="18" xml:space="preserve"> F$40</f>
        <v>0</v>
      </c>
      <c r="G63" s="205" t="str">
        <f t="shared" si="18"/>
        <v>£m</v>
      </c>
      <c r="H63" s="44">
        <f t="shared" si="18"/>
        <v>4552.1097150049054</v>
      </c>
      <c r="I63" s="44">
        <f t="shared" si="18"/>
        <v>0</v>
      </c>
      <c r="J63" s="44">
        <f t="shared" si="18"/>
        <v>0</v>
      </c>
      <c r="K63" s="44">
        <f t="shared" si="18"/>
        <v>0</v>
      </c>
      <c r="L63" s="44">
        <f t="shared" si="18"/>
        <v>0</v>
      </c>
      <c r="M63" s="44">
        <f t="shared" si="18"/>
        <v>0</v>
      </c>
      <c r="N63" s="44">
        <f t="shared" si="18"/>
        <v>0</v>
      </c>
      <c r="O63" s="44">
        <f t="shared" si="18"/>
        <v>0</v>
      </c>
      <c r="P63" s="44">
        <f t="shared" si="18"/>
        <v>858.67097581359883</v>
      </c>
      <c r="Q63" s="44">
        <f t="shared" si="18"/>
        <v>856.46415183566671</v>
      </c>
      <c r="R63" s="44">
        <f t="shared" si="18"/>
        <v>891.96479066592951</v>
      </c>
      <c r="S63" s="44">
        <f t="shared" si="18"/>
        <v>925.47769501843595</v>
      </c>
      <c r="T63" s="44">
        <f t="shared" si="18"/>
        <v>1019.5321016712744</v>
      </c>
      <c r="U63" s="44">
        <f t="shared" si="18"/>
        <v>0</v>
      </c>
      <c r="V63" s="44">
        <f t="shared" si="18"/>
        <v>0</v>
      </c>
      <c r="W63" s="44">
        <f t="shared" si="18"/>
        <v>0</v>
      </c>
    </row>
    <row r="64" spans="1:23" outlineLevel="1">
      <c r="B64" s="64"/>
      <c r="D64" s="159"/>
      <c r="E64" s="101" t="s">
        <v>388</v>
      </c>
      <c r="F64" s="101"/>
      <c r="G64" s="101" t="s">
        <v>173</v>
      </c>
      <c r="H64" s="39"/>
      <c r="J64" s="39">
        <f xml:space="preserve"> IF(J63 = 0, 0, ABS( J62 / J63 ) )</f>
        <v>0</v>
      </c>
      <c r="K64" s="39">
        <f t="shared" ref="K64:W64" si="19" xml:space="preserve"> IF(K63 = 0, 0, ABS( K62 / K63 ) )</f>
        <v>0</v>
      </c>
      <c r="L64" s="39">
        <f t="shared" si="19"/>
        <v>0</v>
      </c>
      <c r="M64" s="39">
        <f t="shared" si="19"/>
        <v>0</v>
      </c>
      <c r="N64" s="39">
        <f t="shared" si="19"/>
        <v>0</v>
      </c>
      <c r="O64" s="39">
        <f t="shared" si="19"/>
        <v>0</v>
      </c>
      <c r="P64" s="39">
        <f t="shared" si="19"/>
        <v>3.8479204193774222E-2</v>
      </c>
      <c r="Q64" s="39">
        <f t="shared" si="19"/>
        <v>2.6303671656755161E-2</v>
      </c>
      <c r="R64" s="39">
        <f t="shared" si="19"/>
        <v>2.4073585516641571E-2</v>
      </c>
      <c r="S64" s="39">
        <f t="shared" si="19"/>
        <v>1.6149613176324913E-2</v>
      </c>
      <c r="T64" s="39">
        <f t="shared" si="19"/>
        <v>1</v>
      </c>
      <c r="U64" s="39">
        <f t="shared" si="19"/>
        <v>0</v>
      </c>
      <c r="V64" s="39">
        <f t="shared" si="19"/>
        <v>0</v>
      </c>
      <c r="W64" s="39">
        <f t="shared" si="19"/>
        <v>0</v>
      </c>
    </row>
    <row r="65" spans="1:23" outlineLevel="1">
      <c r="A65" s="63"/>
      <c r="C65" s="110"/>
      <c r="E65" s="74"/>
    </row>
    <row r="66" spans="1:23" outlineLevel="1">
      <c r="A66" s="63"/>
      <c r="C66" s="110"/>
      <c r="E66" s="36" t="str">
        <f xml:space="preserve"> Inputs!E$57</f>
        <v>Minimum threshold</v>
      </c>
      <c r="F66" s="36">
        <f xml:space="preserve"> Inputs!F$57</f>
        <v>0.02</v>
      </c>
      <c r="G66" s="36" t="str">
        <f xml:space="preserve"> Inputs!G$57</f>
        <v>%</v>
      </c>
      <c r="H66" s="36">
        <f xml:space="preserve"> Inputs!H$57</f>
        <v>0</v>
      </c>
      <c r="I66" s="36">
        <f xml:space="preserve"> Inputs!I$57</f>
        <v>0</v>
      </c>
      <c r="J66" s="36">
        <f xml:space="preserve"> Inputs!J$57</f>
        <v>0</v>
      </c>
      <c r="K66" s="36">
        <f xml:space="preserve"> Inputs!K$57</f>
        <v>0</v>
      </c>
      <c r="L66" s="36">
        <f xml:space="preserve"> Inputs!L$57</f>
        <v>0</v>
      </c>
      <c r="M66" s="36">
        <f xml:space="preserve"> Inputs!M$57</f>
        <v>0</v>
      </c>
      <c r="N66" s="36">
        <f xml:space="preserve"> Inputs!N$57</f>
        <v>0</v>
      </c>
      <c r="O66" s="36">
        <f xml:space="preserve"> Inputs!O$57</f>
        <v>0</v>
      </c>
      <c r="P66" s="36">
        <f xml:space="preserve"> Inputs!P$57</f>
        <v>0</v>
      </c>
      <c r="Q66" s="36">
        <f xml:space="preserve"> Inputs!Q$57</f>
        <v>0</v>
      </c>
      <c r="R66" s="36">
        <f xml:space="preserve"> Inputs!R$57</f>
        <v>0</v>
      </c>
      <c r="S66" s="36">
        <f xml:space="preserve"> Inputs!S$57</f>
        <v>0</v>
      </c>
      <c r="T66" s="36">
        <f xml:space="preserve"> Inputs!T$57</f>
        <v>0</v>
      </c>
      <c r="U66" s="36">
        <f xml:space="preserve"> Inputs!U$57</f>
        <v>0</v>
      </c>
      <c r="V66" s="36">
        <f xml:space="preserve"> Inputs!V$57</f>
        <v>0</v>
      </c>
      <c r="W66" s="36">
        <f xml:space="preserve"> Inputs!W$57</f>
        <v>0</v>
      </c>
    </row>
    <row r="67" spans="1:23" outlineLevel="1">
      <c r="E67" s="38" t="str">
        <f xml:space="preserve"> E$64</f>
        <v>Forecast error - WW-N+</v>
      </c>
      <c r="F67" s="38">
        <f t="shared" ref="F67:T67" si="20" xml:space="preserve"> F$64</f>
        <v>0</v>
      </c>
      <c r="G67" s="38" t="str">
        <f t="shared" si="20"/>
        <v>%</v>
      </c>
      <c r="H67" s="38">
        <f t="shared" si="20"/>
        <v>0</v>
      </c>
      <c r="I67" s="38">
        <f t="shared" si="20"/>
        <v>0</v>
      </c>
      <c r="J67" s="38">
        <f t="shared" si="20"/>
        <v>0</v>
      </c>
      <c r="K67" s="38">
        <f t="shared" si="20"/>
        <v>0</v>
      </c>
      <c r="L67" s="38">
        <f t="shared" si="20"/>
        <v>0</v>
      </c>
      <c r="M67" s="38">
        <f t="shared" si="20"/>
        <v>0</v>
      </c>
      <c r="N67" s="38">
        <f t="shared" si="20"/>
        <v>0</v>
      </c>
      <c r="O67" s="38">
        <f t="shared" si="20"/>
        <v>0</v>
      </c>
      <c r="P67" s="38">
        <f t="shared" si="20"/>
        <v>3.8479204193774222E-2</v>
      </c>
      <c r="Q67" s="38">
        <f t="shared" si="20"/>
        <v>2.6303671656755161E-2</v>
      </c>
      <c r="R67" s="38">
        <f t="shared" si="20"/>
        <v>2.4073585516641571E-2</v>
      </c>
      <c r="S67" s="38">
        <f t="shared" si="20"/>
        <v>1.6149613176324913E-2</v>
      </c>
      <c r="T67" s="38">
        <f t="shared" si="20"/>
        <v>1</v>
      </c>
      <c r="U67" s="38">
        <f xml:space="preserve"> U$64</f>
        <v>0</v>
      </c>
      <c r="V67" s="38">
        <f xml:space="preserve"> V$64</f>
        <v>0</v>
      </c>
      <c r="W67" s="38">
        <f xml:space="preserve"> W$64</f>
        <v>0</v>
      </c>
    </row>
    <row r="68" spans="1:23" outlineLevel="1">
      <c r="A68" s="63"/>
      <c r="C68" s="110"/>
      <c r="E68" s="74" t="s">
        <v>389</v>
      </c>
      <c r="G68" s="57" t="s">
        <v>240</v>
      </c>
      <c r="J68" s="57">
        <f xml:space="preserve"> IF(J67 &gt; $F66, 1, 0)</f>
        <v>0</v>
      </c>
      <c r="K68" s="57">
        <f t="shared" ref="K68:T68" si="21" xml:space="preserve"> IF(K67 &gt; $F66, 1, 0)</f>
        <v>0</v>
      </c>
      <c r="L68" s="57">
        <f t="shared" si="21"/>
        <v>0</v>
      </c>
      <c r="M68" s="57">
        <f t="shared" si="21"/>
        <v>0</v>
      </c>
      <c r="N68" s="57">
        <f t="shared" si="21"/>
        <v>0</v>
      </c>
      <c r="O68" s="57">
        <f t="shared" si="21"/>
        <v>0</v>
      </c>
      <c r="P68" s="57">
        <f t="shared" si="21"/>
        <v>1</v>
      </c>
      <c r="Q68" s="57">
        <f t="shared" si="21"/>
        <v>1</v>
      </c>
      <c r="R68" s="57">
        <f t="shared" si="21"/>
        <v>1</v>
      </c>
      <c r="S68" s="57">
        <f t="shared" si="21"/>
        <v>0</v>
      </c>
      <c r="T68" s="57">
        <f t="shared" si="21"/>
        <v>1</v>
      </c>
      <c r="U68" s="57">
        <f xml:space="preserve"> IF(U67 &gt; $F66, 1, 0)</f>
        <v>0</v>
      </c>
      <c r="V68" s="57">
        <f xml:space="preserve"> IF(V67 &gt; $F66, 1, 0)</f>
        <v>0</v>
      </c>
      <c r="W68" s="57">
        <f xml:space="preserve"> IF(W67 &gt; $F66, 1, 0)</f>
        <v>0</v>
      </c>
    </row>
    <row r="69" spans="1:23" outlineLevel="1">
      <c r="A69" s="63"/>
      <c r="C69" s="110"/>
      <c r="E69" s="74"/>
      <c r="V69" s="57"/>
      <c r="W69" s="57"/>
    </row>
    <row r="70" spans="1:23" outlineLevel="1">
      <c r="A70" s="63"/>
      <c r="C70" s="110"/>
      <c r="E70" s="36" t="str">
        <f xml:space="preserve"> Inputs!E$57</f>
        <v>Minimum threshold</v>
      </c>
      <c r="F70" s="36">
        <f xml:space="preserve"> Inputs!F$57</f>
        <v>0.02</v>
      </c>
      <c r="G70" s="36" t="str">
        <f xml:space="preserve"> Inputs!G$57</f>
        <v>%</v>
      </c>
      <c r="H70" s="36">
        <f xml:space="preserve"> Inputs!H$57</f>
        <v>0</v>
      </c>
      <c r="I70" s="36">
        <f xml:space="preserve"> Inputs!I$57</f>
        <v>0</v>
      </c>
      <c r="J70" s="36">
        <f xml:space="preserve"> Inputs!J$57</f>
        <v>0</v>
      </c>
      <c r="K70" s="36">
        <f xml:space="preserve"> Inputs!K$57</f>
        <v>0</v>
      </c>
      <c r="L70" s="36">
        <f xml:space="preserve"> Inputs!L$57</f>
        <v>0</v>
      </c>
      <c r="M70" s="36">
        <f xml:space="preserve"> Inputs!M$57</f>
        <v>0</v>
      </c>
      <c r="N70" s="36">
        <f xml:space="preserve"> Inputs!N$57</f>
        <v>0</v>
      </c>
      <c r="O70" s="36">
        <f xml:space="preserve"> Inputs!O$57</f>
        <v>0</v>
      </c>
      <c r="P70" s="36">
        <f xml:space="preserve"> Inputs!P$57</f>
        <v>0</v>
      </c>
      <c r="Q70" s="36">
        <f xml:space="preserve"> Inputs!Q$57</f>
        <v>0</v>
      </c>
      <c r="R70" s="36">
        <f xml:space="preserve"> Inputs!R$57</f>
        <v>0</v>
      </c>
      <c r="S70" s="36">
        <f xml:space="preserve"> Inputs!S$57</f>
        <v>0</v>
      </c>
      <c r="T70" s="36">
        <f xml:space="preserve"> Inputs!T$57</f>
        <v>0</v>
      </c>
      <c r="U70" s="36">
        <f xml:space="preserve"> Inputs!U$57</f>
        <v>0</v>
      </c>
      <c r="V70" s="36">
        <f xml:space="preserve"> Inputs!V$57</f>
        <v>0</v>
      </c>
      <c r="W70" s="36">
        <f xml:space="preserve"> Inputs!W$57</f>
        <v>0</v>
      </c>
    </row>
    <row r="71" spans="1:23" outlineLevel="1">
      <c r="A71" s="63"/>
      <c r="C71" s="110"/>
      <c r="E71" s="36" t="str">
        <f xml:space="preserve"> Inputs!E$59</f>
        <v>Maximum threshold</v>
      </c>
      <c r="F71" s="36">
        <f xml:space="preserve"> Inputs!F$59</f>
        <v>0.03</v>
      </c>
      <c r="G71" s="36" t="str">
        <f xml:space="preserve"> Inputs!G$59</f>
        <v>%</v>
      </c>
      <c r="H71" s="36">
        <f xml:space="preserve"> Inputs!H$59</f>
        <v>0</v>
      </c>
      <c r="I71" s="36">
        <f xml:space="preserve"> Inputs!I$59</f>
        <v>0</v>
      </c>
      <c r="J71" s="36">
        <f xml:space="preserve"> Inputs!J$59</f>
        <v>0</v>
      </c>
      <c r="K71" s="36">
        <f xml:space="preserve"> Inputs!K$59</f>
        <v>0</v>
      </c>
      <c r="L71" s="36">
        <f xml:space="preserve"> Inputs!L$59</f>
        <v>0</v>
      </c>
      <c r="M71" s="36">
        <f xml:space="preserve"> Inputs!M$59</f>
        <v>0</v>
      </c>
      <c r="N71" s="36">
        <f xml:space="preserve"> Inputs!N$59</f>
        <v>0</v>
      </c>
      <c r="O71" s="36">
        <f xml:space="preserve"> Inputs!O$59</f>
        <v>0</v>
      </c>
      <c r="P71" s="36">
        <f xml:space="preserve"> Inputs!P$59</f>
        <v>0</v>
      </c>
      <c r="Q71" s="36">
        <f xml:space="preserve"> Inputs!Q$59</f>
        <v>0</v>
      </c>
      <c r="R71" s="36">
        <f xml:space="preserve"> Inputs!R$59</f>
        <v>0</v>
      </c>
      <c r="S71" s="36">
        <f xml:space="preserve"> Inputs!S$59</f>
        <v>0</v>
      </c>
      <c r="T71" s="36">
        <f xml:space="preserve"> Inputs!T$59</f>
        <v>0</v>
      </c>
      <c r="U71" s="36">
        <f xml:space="preserve"> Inputs!U$59</f>
        <v>0</v>
      </c>
      <c r="V71" s="36">
        <f xml:space="preserve"> Inputs!V$59</f>
        <v>0</v>
      </c>
      <c r="W71" s="36">
        <f xml:space="preserve"> Inputs!W$59</f>
        <v>0</v>
      </c>
    </row>
    <row r="72" spans="1:23" outlineLevel="1">
      <c r="E72" s="38" t="str">
        <f t="shared" ref="E72:T72" si="22" xml:space="preserve"> E$64</f>
        <v>Forecast error - WW-N+</v>
      </c>
      <c r="F72" s="38">
        <f t="shared" si="22"/>
        <v>0</v>
      </c>
      <c r="G72" s="38" t="str">
        <f t="shared" si="22"/>
        <v>%</v>
      </c>
      <c r="H72" s="38">
        <f t="shared" si="22"/>
        <v>0</v>
      </c>
      <c r="I72" s="38">
        <f t="shared" si="22"/>
        <v>0</v>
      </c>
      <c r="J72" s="38">
        <f xml:space="preserve"> J$64</f>
        <v>0</v>
      </c>
      <c r="K72" s="38">
        <f t="shared" si="22"/>
        <v>0</v>
      </c>
      <c r="L72" s="38">
        <f t="shared" si="22"/>
        <v>0</v>
      </c>
      <c r="M72" s="38">
        <f t="shared" si="22"/>
        <v>0</v>
      </c>
      <c r="N72" s="38">
        <f t="shared" si="22"/>
        <v>0</v>
      </c>
      <c r="O72" s="38">
        <f t="shared" si="22"/>
        <v>0</v>
      </c>
      <c r="P72" s="38">
        <f t="shared" si="22"/>
        <v>3.8479204193774222E-2</v>
      </c>
      <c r="Q72" s="38">
        <f t="shared" si="22"/>
        <v>2.6303671656755161E-2</v>
      </c>
      <c r="R72" s="38">
        <f t="shared" si="22"/>
        <v>2.4073585516641571E-2</v>
      </c>
      <c r="S72" s="38">
        <f t="shared" si="22"/>
        <v>1.6149613176324913E-2</v>
      </c>
      <c r="T72" s="38">
        <f t="shared" si="22"/>
        <v>1</v>
      </c>
      <c r="U72" s="38">
        <f xml:space="preserve"> U$64</f>
        <v>0</v>
      </c>
      <c r="V72" s="38">
        <f xml:space="preserve"> V$64</f>
        <v>0</v>
      </c>
      <c r="W72" s="38">
        <f xml:space="preserve"> W$64</f>
        <v>0</v>
      </c>
    </row>
    <row r="73" spans="1:23" outlineLevel="1">
      <c r="A73" s="63"/>
      <c r="C73" s="110"/>
      <c r="E73" s="57" t="str">
        <f t="shared" ref="E73:T73" si="23" xml:space="preserve"> E$68</f>
        <v>Penalty applicable - WW-N+</v>
      </c>
      <c r="F73" s="57">
        <f t="shared" si="23"/>
        <v>0</v>
      </c>
      <c r="G73" s="57" t="str">
        <f t="shared" si="23"/>
        <v>flag</v>
      </c>
      <c r="H73" s="57">
        <f t="shared" si="23"/>
        <v>0</v>
      </c>
      <c r="I73" s="57">
        <f t="shared" si="23"/>
        <v>0</v>
      </c>
      <c r="J73" s="57">
        <f xml:space="preserve"> J$68</f>
        <v>0</v>
      </c>
      <c r="K73" s="57">
        <f t="shared" si="23"/>
        <v>0</v>
      </c>
      <c r="L73" s="57">
        <f t="shared" si="23"/>
        <v>0</v>
      </c>
      <c r="M73" s="57">
        <f t="shared" si="23"/>
        <v>0</v>
      </c>
      <c r="N73" s="57">
        <f t="shared" si="23"/>
        <v>0</v>
      </c>
      <c r="O73" s="57">
        <f t="shared" si="23"/>
        <v>0</v>
      </c>
      <c r="P73" s="57">
        <f t="shared" si="23"/>
        <v>1</v>
      </c>
      <c r="Q73" s="57">
        <f t="shared" si="23"/>
        <v>1</v>
      </c>
      <c r="R73" s="57">
        <f t="shared" si="23"/>
        <v>1</v>
      </c>
      <c r="S73" s="57">
        <f t="shared" si="23"/>
        <v>0</v>
      </c>
      <c r="T73" s="57">
        <f t="shared" si="23"/>
        <v>1</v>
      </c>
      <c r="U73" s="57">
        <f xml:space="preserve"> U$68</f>
        <v>0</v>
      </c>
      <c r="V73" s="57">
        <f xml:space="preserve"> V$68</f>
        <v>0</v>
      </c>
      <c r="W73" s="57">
        <f xml:space="preserve"> W$68</f>
        <v>0</v>
      </c>
    </row>
    <row r="74" spans="1:23" outlineLevel="1">
      <c r="A74" s="63"/>
      <c r="C74" s="110"/>
      <c r="E74" s="57" t="s">
        <v>390</v>
      </c>
      <c r="G74" s="57" t="s">
        <v>287</v>
      </c>
      <c r="J74" s="4">
        <f t="shared" ref="J74:T74" si="24" xml:space="preserve"> IF(J73 = 1, (J72 - $F70) / ($F71 - $F70), 0)</f>
        <v>0</v>
      </c>
      <c r="K74" s="4">
        <f xml:space="preserve"> IF(K73 = 1, (K72 - $F70) / ($F71 - $F70), 0)</f>
        <v>0</v>
      </c>
      <c r="L74" s="4">
        <f t="shared" si="24"/>
        <v>0</v>
      </c>
      <c r="M74" s="4">
        <f t="shared" si="24"/>
        <v>0</v>
      </c>
      <c r="N74" s="4">
        <f t="shared" si="24"/>
        <v>0</v>
      </c>
      <c r="O74" s="4">
        <f t="shared" si="24"/>
        <v>0</v>
      </c>
      <c r="P74" s="4">
        <f t="shared" si="24"/>
        <v>1.8479204193774224</v>
      </c>
      <c r="Q74" s="4">
        <f t="shared" si="24"/>
        <v>0.63036716567551621</v>
      </c>
      <c r="R74" s="4">
        <f t="shared" si="24"/>
        <v>0.40735855166415713</v>
      </c>
      <c r="S74" s="4">
        <f t="shared" si="24"/>
        <v>0</v>
      </c>
      <c r="T74" s="4">
        <f t="shared" si="24"/>
        <v>98.000000000000014</v>
      </c>
      <c r="U74" s="4">
        <f xml:space="preserve"> IF(U73 = 1, (U72 - $F70) / ($F71 - $F70), 0)</f>
        <v>0</v>
      </c>
      <c r="V74" s="4">
        <f xml:space="preserve"> IF(V73 = 1, (V72 - $F70) / ($F71 - $F70), 0)</f>
        <v>0</v>
      </c>
      <c r="W74" s="4">
        <f xml:space="preserve"> IF(W73 = 1, (W72 - $F70) / ($F71 - $F70), 0)</f>
        <v>0</v>
      </c>
    </row>
    <row r="75" spans="1:23" outlineLevel="1">
      <c r="A75" s="63"/>
      <c r="C75" s="110"/>
      <c r="E75" s="74"/>
      <c r="V75" s="57"/>
      <c r="W75" s="57"/>
    </row>
    <row r="76" spans="1:23" outlineLevel="1">
      <c r="A76" s="63"/>
      <c r="C76" s="110"/>
      <c r="E76" s="36" t="str">
        <f xml:space="preserve"> Inputs!E$61</f>
        <v>Penalty level</v>
      </c>
      <c r="F76" s="36">
        <f xml:space="preserve"> Inputs!F$61</f>
        <v>0.03</v>
      </c>
      <c r="G76" s="36" t="str">
        <f xml:space="preserve"> Inputs!G$61</f>
        <v>%</v>
      </c>
      <c r="H76" s="36">
        <f xml:space="preserve"> Inputs!H$61</f>
        <v>0</v>
      </c>
      <c r="I76" s="36">
        <f xml:space="preserve"> Inputs!I$61</f>
        <v>0</v>
      </c>
      <c r="J76" s="36">
        <f xml:space="preserve"> Inputs!J$61</f>
        <v>0</v>
      </c>
      <c r="K76" s="36">
        <f xml:space="preserve"> Inputs!K$61</f>
        <v>0</v>
      </c>
      <c r="L76" s="36">
        <f xml:space="preserve"> Inputs!L$61</f>
        <v>0</v>
      </c>
      <c r="M76" s="36">
        <f xml:space="preserve"> Inputs!M$61</f>
        <v>0</v>
      </c>
      <c r="N76" s="36">
        <f xml:space="preserve"> Inputs!N$61</f>
        <v>0</v>
      </c>
      <c r="O76" s="36">
        <f xml:space="preserve"> Inputs!O$61</f>
        <v>0</v>
      </c>
      <c r="P76" s="36">
        <f xml:space="preserve"> Inputs!P$61</f>
        <v>0</v>
      </c>
      <c r="Q76" s="36">
        <f xml:space="preserve"> Inputs!Q$61</f>
        <v>0</v>
      </c>
      <c r="R76" s="36">
        <f xml:space="preserve"> Inputs!R$61</f>
        <v>0</v>
      </c>
      <c r="S76" s="36">
        <f xml:space="preserve"> Inputs!S$61</f>
        <v>0</v>
      </c>
      <c r="T76" s="36">
        <f xml:space="preserve"> Inputs!T$61</f>
        <v>0</v>
      </c>
      <c r="U76" s="36">
        <f xml:space="preserve"> Inputs!U$61</f>
        <v>0</v>
      </c>
      <c r="V76" s="36">
        <f xml:space="preserve"> Inputs!V$61</f>
        <v>0</v>
      </c>
      <c r="W76" s="36">
        <f xml:space="preserve"> Inputs!W$61</f>
        <v>0</v>
      </c>
    </row>
    <row r="77" spans="1:23" outlineLevel="1">
      <c r="A77" s="63"/>
      <c r="C77" s="110"/>
      <c r="E77" s="4" t="str">
        <f t="shared" ref="E77:T77" si="25" xml:space="preserve"> E$74</f>
        <v>Error magnitude - WW-N+</v>
      </c>
      <c r="F77" s="4">
        <f t="shared" si="25"/>
        <v>0</v>
      </c>
      <c r="G77" s="4" t="str">
        <f t="shared" si="25"/>
        <v>factor</v>
      </c>
      <c r="H77" s="4">
        <f t="shared" si="25"/>
        <v>0</v>
      </c>
      <c r="I77" s="4">
        <f t="shared" si="25"/>
        <v>0</v>
      </c>
      <c r="J77" s="4">
        <f t="shared" si="25"/>
        <v>0</v>
      </c>
      <c r="K77" s="4">
        <f t="shared" si="25"/>
        <v>0</v>
      </c>
      <c r="L77" s="4">
        <f t="shared" si="25"/>
        <v>0</v>
      </c>
      <c r="M77" s="4">
        <f t="shared" si="25"/>
        <v>0</v>
      </c>
      <c r="N77" s="4">
        <f t="shared" si="25"/>
        <v>0</v>
      </c>
      <c r="O77" s="4">
        <f t="shared" si="25"/>
        <v>0</v>
      </c>
      <c r="P77" s="4">
        <f t="shared" si="25"/>
        <v>1.8479204193774224</v>
      </c>
      <c r="Q77" s="4">
        <f t="shared" si="25"/>
        <v>0.63036716567551621</v>
      </c>
      <c r="R77" s="4">
        <f t="shared" si="25"/>
        <v>0.40735855166415713</v>
      </c>
      <c r="S77" s="4">
        <f t="shared" si="25"/>
        <v>0</v>
      </c>
      <c r="T77" s="4">
        <f t="shared" si="25"/>
        <v>98.000000000000014</v>
      </c>
      <c r="U77" s="4">
        <f xml:space="preserve"> U$74</f>
        <v>0</v>
      </c>
      <c r="V77" s="4">
        <f xml:space="preserve"> V$74</f>
        <v>0</v>
      </c>
      <c r="W77" s="4">
        <f xml:space="preserve"> W$74</f>
        <v>0</v>
      </c>
    </row>
    <row r="78" spans="1:23" outlineLevel="1">
      <c r="A78" s="63"/>
      <c r="C78" s="110"/>
      <c r="E78" s="82" t="s">
        <v>391</v>
      </c>
      <c r="F78" s="109"/>
      <c r="G78" s="109" t="s">
        <v>173</v>
      </c>
      <c r="H78" s="109"/>
      <c r="I78" s="58"/>
      <c r="J78" s="236">
        <f xml:space="preserve"> $F76 * MIN(1, J77)</f>
        <v>0</v>
      </c>
      <c r="K78" s="236">
        <f xml:space="preserve"> $F76 * MIN(1, K77)</f>
        <v>0</v>
      </c>
      <c r="L78" s="236">
        <f t="shared" ref="L78:T78" si="26" xml:space="preserve"> $F76 * MIN(1, L77)</f>
        <v>0</v>
      </c>
      <c r="M78" s="236">
        <f t="shared" si="26"/>
        <v>0</v>
      </c>
      <c r="N78" s="236">
        <f t="shared" si="26"/>
        <v>0</v>
      </c>
      <c r="O78" s="236">
        <f t="shared" si="26"/>
        <v>0</v>
      </c>
      <c r="P78" s="236">
        <f t="shared" si="26"/>
        <v>0.03</v>
      </c>
      <c r="Q78" s="236">
        <f t="shared" si="26"/>
        <v>1.8911014970265486E-2</v>
      </c>
      <c r="R78" s="236">
        <f t="shared" si="26"/>
        <v>1.2220756549924713E-2</v>
      </c>
      <c r="S78" s="236">
        <f t="shared" si="26"/>
        <v>0</v>
      </c>
      <c r="T78" s="236">
        <f t="shared" si="26"/>
        <v>0.03</v>
      </c>
      <c r="U78" s="236">
        <f xml:space="preserve"> $F76 * MIN(1, U77)</f>
        <v>0</v>
      </c>
      <c r="V78" s="236">
        <f xml:space="preserve"> $F76 * MIN(1, V77)</f>
        <v>0</v>
      </c>
      <c r="W78" s="236">
        <f xml:space="preserve"> $F76 * MIN(1, W77)</f>
        <v>0</v>
      </c>
    </row>
    <row r="79" spans="1:23" outlineLevel="1">
      <c r="A79" s="63"/>
      <c r="C79" s="110"/>
      <c r="E79" s="74"/>
      <c r="V79" s="57"/>
      <c r="W79" s="57"/>
    </row>
    <row r="80" spans="1:23" s="129" customFormat="1" outlineLevel="1">
      <c r="A80" s="166"/>
      <c r="B80" s="166"/>
      <c r="C80" s="167"/>
      <c r="D80" s="75"/>
      <c r="E80" s="205" t="str">
        <f xml:space="preserve"> E$44</f>
        <v xml:space="preserve">Revenue Imbalance  - WW-N+ </v>
      </c>
      <c r="F80" s="205">
        <f t="shared" ref="F80:W80" si="27" xml:space="preserve"> F$44</f>
        <v>0</v>
      </c>
      <c r="G80" s="205" t="str">
        <f t="shared" si="27"/>
        <v>£m</v>
      </c>
      <c r="H80" s="44">
        <f t="shared" si="27"/>
        <v>1111.520126764334</v>
      </c>
      <c r="I80" s="44">
        <f t="shared" si="27"/>
        <v>0</v>
      </c>
      <c r="J80" s="44">
        <f t="shared" si="27"/>
        <v>0</v>
      </c>
      <c r="K80" s="44">
        <f t="shared" si="27"/>
        <v>0</v>
      </c>
      <c r="L80" s="44">
        <f t="shared" si="27"/>
        <v>0</v>
      </c>
      <c r="M80" s="44">
        <f t="shared" si="27"/>
        <v>0</v>
      </c>
      <c r="N80" s="44">
        <f t="shared" si="27"/>
        <v>0</v>
      </c>
      <c r="O80" s="44">
        <f t="shared" si="27"/>
        <v>0</v>
      </c>
      <c r="P80" s="44">
        <f t="shared" si="27"/>
        <v>33.040975813598834</v>
      </c>
      <c r="Q80" s="44">
        <f t="shared" si="27"/>
        <v>22.528151835666677</v>
      </c>
      <c r="R80" s="44">
        <f t="shared" si="27"/>
        <v>21.472790665929551</v>
      </c>
      <c r="S80" s="44">
        <f t="shared" si="27"/>
        <v>14.946106777864543</v>
      </c>
      <c r="T80" s="44">
        <f t="shared" si="27"/>
        <v>1019.5321016712744</v>
      </c>
      <c r="U80" s="44">
        <f t="shared" si="27"/>
        <v>0</v>
      </c>
      <c r="V80" s="44">
        <f t="shared" si="27"/>
        <v>0</v>
      </c>
      <c r="W80" s="44">
        <f t="shared" si="27"/>
        <v>0</v>
      </c>
    </row>
    <row r="81" spans="1:23" outlineLevel="1">
      <c r="B81" s="64"/>
      <c r="D81" s="159"/>
      <c r="E81" s="39" t="str">
        <f t="shared" ref="E81:T81" si="28" xml:space="preserve"> E$78</f>
        <v>Penalty rate (PR) - WW-N+</v>
      </c>
      <c r="F81" s="39">
        <f t="shared" si="28"/>
        <v>0</v>
      </c>
      <c r="G81" s="39" t="str">
        <f t="shared" si="28"/>
        <v>%</v>
      </c>
      <c r="H81" s="39">
        <f t="shared" si="28"/>
        <v>0</v>
      </c>
      <c r="I81" s="39">
        <f t="shared" si="28"/>
        <v>0</v>
      </c>
      <c r="J81" s="39">
        <f t="shared" si="28"/>
        <v>0</v>
      </c>
      <c r="K81" s="39">
        <f t="shared" si="28"/>
        <v>0</v>
      </c>
      <c r="L81" s="39">
        <f t="shared" si="28"/>
        <v>0</v>
      </c>
      <c r="M81" s="39">
        <f t="shared" si="28"/>
        <v>0</v>
      </c>
      <c r="N81" s="39">
        <f t="shared" si="28"/>
        <v>0</v>
      </c>
      <c r="O81" s="39">
        <f t="shared" si="28"/>
        <v>0</v>
      </c>
      <c r="P81" s="39">
        <f t="shared" si="28"/>
        <v>0.03</v>
      </c>
      <c r="Q81" s="39">
        <f t="shared" si="28"/>
        <v>1.8911014970265486E-2</v>
      </c>
      <c r="R81" s="39">
        <f t="shared" si="28"/>
        <v>1.2220756549924713E-2</v>
      </c>
      <c r="S81" s="39">
        <f t="shared" si="28"/>
        <v>0</v>
      </c>
      <c r="T81" s="39">
        <f t="shared" si="28"/>
        <v>0.03</v>
      </c>
      <c r="U81" s="39">
        <f xml:space="preserve"> U$78</f>
        <v>0</v>
      </c>
      <c r="V81" s="39">
        <f xml:space="preserve"> V$78</f>
        <v>0</v>
      </c>
      <c r="W81" s="39">
        <f xml:space="preserve"> W$78</f>
        <v>0</v>
      </c>
    </row>
    <row r="82" spans="1:23" outlineLevel="1">
      <c r="B82" s="64"/>
      <c r="D82" s="159"/>
      <c r="E82" s="292" t="str">
        <f xml:space="preserve"> Time!E$56</f>
        <v>Forecast period flag</v>
      </c>
      <c r="F82" s="292">
        <f xml:space="preserve"> Time!F$56</f>
        <v>0</v>
      </c>
      <c r="G82" s="292" t="str">
        <f xml:space="preserve"> Time!G$56</f>
        <v>flag</v>
      </c>
      <c r="H82" s="292">
        <f xml:space="preserve"> Time!H$56</f>
        <v>5</v>
      </c>
      <c r="I82" s="292">
        <f xml:space="preserve"> Time!I$56</f>
        <v>0</v>
      </c>
      <c r="J82" s="292">
        <f xml:space="preserve"> Time!J$56</f>
        <v>0</v>
      </c>
      <c r="K82" s="292">
        <f xml:space="preserve"> Time!K$56</f>
        <v>0</v>
      </c>
      <c r="L82" s="292">
        <f xml:space="preserve"> Time!L$56</f>
        <v>0</v>
      </c>
      <c r="M82" s="292">
        <f xml:space="preserve"> Time!M$56</f>
        <v>0</v>
      </c>
      <c r="N82" s="292">
        <f xml:space="preserve"> Time!N$56</f>
        <v>0</v>
      </c>
      <c r="O82" s="292">
        <f xml:space="preserve"> Time!O$56</f>
        <v>0</v>
      </c>
      <c r="P82" s="292">
        <f xml:space="preserve"> Time!P$56</f>
        <v>1</v>
      </c>
      <c r="Q82" s="292">
        <f xml:space="preserve"> Time!Q$56</f>
        <v>1</v>
      </c>
      <c r="R82" s="292">
        <f xml:space="preserve"> Time!R$56</f>
        <v>1</v>
      </c>
      <c r="S82" s="292">
        <f xml:space="preserve"> Time!S$56</f>
        <v>1</v>
      </c>
      <c r="T82" s="292">
        <f xml:space="preserve"> Time!T$56</f>
        <v>1</v>
      </c>
      <c r="U82" s="292">
        <f xml:space="preserve"> Time!U$56</f>
        <v>0</v>
      </c>
      <c r="V82" s="292">
        <f xml:space="preserve"> Time!V$56</f>
        <v>0</v>
      </c>
      <c r="W82" s="292">
        <f xml:space="preserve"> Time!W$56</f>
        <v>0</v>
      </c>
    </row>
    <row r="83" spans="1:23" outlineLevel="1">
      <c r="B83" s="64"/>
      <c r="D83" s="159"/>
      <c r="E83" s="129" t="s">
        <v>392</v>
      </c>
      <c r="F83" s="101"/>
      <c r="G83" s="101" t="s">
        <v>97</v>
      </c>
      <c r="H83" s="93">
        <f xml:space="preserve"> SUM(J83:W83)</f>
        <v>32.265636288338726</v>
      </c>
      <c r="J83" s="93">
        <f xml:space="preserve">  IF(J82=1, J81 * ABS(J80), 0 )</f>
        <v>0</v>
      </c>
      <c r="K83" s="93">
        <f t="shared" ref="K83:P83" si="29" xml:space="preserve">  IF(K82=1, K81 * ABS(K80), 0 )</f>
        <v>0</v>
      </c>
      <c r="L83" s="93">
        <f t="shared" si="29"/>
        <v>0</v>
      </c>
      <c r="M83" s="93">
        <f t="shared" si="29"/>
        <v>0</v>
      </c>
      <c r="N83" s="93">
        <f t="shared" si="29"/>
        <v>0</v>
      </c>
      <c r="O83" s="93">
        <f t="shared" si="29"/>
        <v>0</v>
      </c>
      <c r="P83" s="93">
        <f t="shared" si="29"/>
        <v>0.99122927440796493</v>
      </c>
      <c r="Q83" s="93">
        <f t="shared" ref="Q83:W83" si="30" xml:space="preserve">  IF(Q82=1, Q81 * ABS(Q80), 0 )</f>
        <v>0.42603021661670643</v>
      </c>
      <c r="R83" s="93">
        <f t="shared" si="30"/>
        <v>0.26241374717582078</v>
      </c>
      <c r="S83" s="93">
        <f t="shared" si="30"/>
        <v>0</v>
      </c>
      <c r="T83" s="93">
        <f t="shared" si="30"/>
        <v>30.585963050138233</v>
      </c>
      <c r="U83" s="93">
        <f t="shared" si="30"/>
        <v>0</v>
      </c>
      <c r="V83" s="93">
        <f t="shared" si="30"/>
        <v>0</v>
      </c>
      <c r="W83" s="93">
        <f t="shared" si="30"/>
        <v>0</v>
      </c>
    </row>
    <row r="84" spans="1:23" outlineLevel="1">
      <c r="B84" s="64"/>
      <c r="D84" s="159"/>
      <c r="E84" s="129"/>
      <c r="F84" s="101"/>
      <c r="G84" s="101"/>
      <c r="H84" s="93"/>
      <c r="J84" s="93">
        <f xml:space="preserve"> IF( J51 &lt;= $F$48 + 1,  J50 * (1 + $F49) * (1 + $F49), 0 )</f>
        <v>0</v>
      </c>
      <c r="K84" s="93"/>
      <c r="L84" s="93"/>
      <c r="M84" s="93"/>
      <c r="N84" s="93"/>
      <c r="O84" s="93"/>
      <c r="P84" s="93"/>
      <c r="Q84" s="93"/>
      <c r="R84" s="93"/>
      <c r="S84" s="93"/>
      <c r="T84" s="93"/>
      <c r="U84" s="93"/>
      <c r="V84" s="93"/>
      <c r="W84" s="93"/>
    </row>
    <row r="85" spans="1:23" outlineLevel="1">
      <c r="B85" s="64"/>
      <c r="D85" s="159"/>
      <c r="E85" s="101" t="str">
        <f t="shared" ref="E85:W85" si="31" xml:space="preserve"> E$83</f>
        <v>Penalty adjustment - WW-N+ POS</v>
      </c>
      <c r="F85" s="101">
        <f t="shared" si="31"/>
        <v>0</v>
      </c>
      <c r="G85" s="101" t="str">
        <f t="shared" si="31"/>
        <v>£m</v>
      </c>
      <c r="H85" s="93">
        <f t="shared" si="31"/>
        <v>32.265636288338726</v>
      </c>
      <c r="I85" s="101">
        <f t="shared" si="31"/>
        <v>0</v>
      </c>
      <c r="J85" s="93">
        <f t="shared" si="31"/>
        <v>0</v>
      </c>
      <c r="K85" s="93">
        <f t="shared" si="31"/>
        <v>0</v>
      </c>
      <c r="L85" s="93">
        <f t="shared" si="31"/>
        <v>0</v>
      </c>
      <c r="M85" s="93">
        <f t="shared" si="31"/>
        <v>0</v>
      </c>
      <c r="N85" s="93">
        <f t="shared" si="31"/>
        <v>0</v>
      </c>
      <c r="O85" s="93">
        <f t="shared" si="31"/>
        <v>0</v>
      </c>
      <c r="P85" s="93">
        <f t="shared" si="31"/>
        <v>0.99122927440796493</v>
      </c>
      <c r="Q85" s="93">
        <f t="shared" si="31"/>
        <v>0.42603021661670643</v>
      </c>
      <c r="R85" s="93">
        <f t="shared" si="31"/>
        <v>0.26241374717582078</v>
      </c>
      <c r="S85" s="93">
        <f t="shared" si="31"/>
        <v>0</v>
      </c>
      <c r="T85" s="93">
        <f t="shared" si="31"/>
        <v>30.585963050138233</v>
      </c>
      <c r="U85" s="93">
        <f t="shared" si="31"/>
        <v>0</v>
      </c>
      <c r="V85" s="93">
        <f t="shared" si="31"/>
        <v>0</v>
      </c>
      <c r="W85" s="93">
        <f t="shared" si="31"/>
        <v>0</v>
      </c>
    </row>
    <row r="86" spans="1:23" s="155" customFormat="1" outlineLevel="1">
      <c r="A86" s="168"/>
      <c r="B86" s="168"/>
      <c r="C86" s="162"/>
      <c r="D86" s="163"/>
      <c r="E86" s="164" t="s">
        <v>393</v>
      </c>
      <c r="F86" s="164"/>
      <c r="G86" s="164" t="s">
        <v>97</v>
      </c>
      <c r="H86" s="165">
        <f xml:space="preserve"> SUM(J86:W86)</f>
        <v>-32.265636288338726</v>
      </c>
      <c r="I86" s="185"/>
      <c r="J86" s="165">
        <f xml:space="preserve"> - J85</f>
        <v>0</v>
      </c>
      <c r="K86" s="165">
        <f t="shared" ref="K86:W86" si="32" xml:space="preserve"> - K85</f>
        <v>0</v>
      </c>
      <c r="L86" s="165">
        <f t="shared" si="32"/>
        <v>0</v>
      </c>
      <c r="M86" s="165">
        <f t="shared" si="32"/>
        <v>0</v>
      </c>
      <c r="N86" s="165">
        <f t="shared" si="32"/>
        <v>0</v>
      </c>
      <c r="O86" s="165">
        <f t="shared" si="32"/>
        <v>0</v>
      </c>
      <c r="P86" s="165">
        <f t="shared" si="32"/>
        <v>-0.99122927440796493</v>
      </c>
      <c r="Q86" s="165">
        <f t="shared" si="32"/>
        <v>-0.42603021661670643</v>
      </c>
      <c r="R86" s="165">
        <f t="shared" si="32"/>
        <v>-0.26241374717582078</v>
      </c>
      <c r="S86" s="165">
        <f t="shared" si="32"/>
        <v>0</v>
      </c>
      <c r="T86" s="165">
        <f t="shared" si="32"/>
        <v>-30.585963050138233</v>
      </c>
      <c r="U86" s="165">
        <f t="shared" si="32"/>
        <v>0</v>
      </c>
      <c r="V86" s="165">
        <f t="shared" si="32"/>
        <v>0</v>
      </c>
      <c r="W86" s="165">
        <f t="shared" si="32"/>
        <v>0</v>
      </c>
    </row>
    <row r="87" spans="1:23" outlineLevel="1">
      <c r="A87" s="63"/>
      <c r="C87" s="110"/>
      <c r="E87" s="74"/>
      <c r="V87" s="57"/>
      <c r="W87" s="57"/>
    </row>
    <row r="88" spans="1:23" outlineLevel="1">
      <c r="E88" s="36" t="str">
        <f xml:space="preserve"> Inputs!E$63</f>
        <v>Discount rate</v>
      </c>
      <c r="F88" s="36">
        <f xml:space="preserve"> Inputs!F$63</f>
        <v>2.92E-2</v>
      </c>
      <c r="G88" s="36" t="str">
        <f xml:space="preserve"> Inputs!G$63</f>
        <v>%</v>
      </c>
      <c r="H88" s="36">
        <f xml:space="preserve"> Inputs!H$63</f>
        <v>0</v>
      </c>
      <c r="I88" s="36">
        <f xml:space="preserve"> Inputs!I$63</f>
        <v>0</v>
      </c>
      <c r="J88" s="36">
        <f xml:space="preserve"> Inputs!J$63</f>
        <v>0</v>
      </c>
      <c r="K88" s="36">
        <f xml:space="preserve"> Inputs!K$63</f>
        <v>0</v>
      </c>
      <c r="L88" s="36">
        <f xml:space="preserve"> Inputs!L$63</f>
        <v>0</v>
      </c>
      <c r="M88" s="36">
        <f xml:space="preserve"> Inputs!M$63</f>
        <v>0</v>
      </c>
      <c r="N88" s="36">
        <f xml:space="preserve"> Inputs!N$63</f>
        <v>0</v>
      </c>
      <c r="O88" s="36">
        <f xml:space="preserve"> Inputs!O$63</f>
        <v>0</v>
      </c>
      <c r="P88" s="36">
        <f xml:space="preserve"> Inputs!P$63</f>
        <v>0</v>
      </c>
      <c r="Q88" s="36">
        <f xml:space="preserve"> Inputs!Q$63</f>
        <v>0</v>
      </c>
      <c r="R88" s="36">
        <f xml:space="preserve"> Inputs!R$63</f>
        <v>0</v>
      </c>
      <c r="S88" s="36">
        <f xml:space="preserve"> Inputs!S$63</f>
        <v>0</v>
      </c>
      <c r="T88" s="36">
        <f xml:space="preserve"> Inputs!T$63</f>
        <v>0</v>
      </c>
      <c r="U88" s="36">
        <f xml:space="preserve"> Inputs!U$63</f>
        <v>0</v>
      </c>
      <c r="V88" s="36">
        <f xml:space="preserve"> Inputs!V$63</f>
        <v>0</v>
      </c>
      <c r="W88" s="36">
        <f xml:space="preserve"> Inputs!W$63</f>
        <v>0</v>
      </c>
    </row>
    <row r="89" spans="1:23" outlineLevel="1">
      <c r="A89" s="63"/>
      <c r="C89" s="110"/>
      <c r="E89" s="156" t="str">
        <f xml:space="preserve"> E$86</f>
        <v>Penalty adjustment - WW-N+</v>
      </c>
      <c r="F89" s="156">
        <f xml:space="preserve"> F$86</f>
        <v>0</v>
      </c>
      <c r="G89" s="156" t="str">
        <f xml:space="preserve"> G$86</f>
        <v>£m</v>
      </c>
      <c r="H89" s="156">
        <f xml:space="preserve"> H$86</f>
        <v>-32.265636288338726</v>
      </c>
      <c r="I89" s="156">
        <f xml:space="preserve"> I$86</f>
        <v>0</v>
      </c>
      <c r="J89" s="156">
        <f t="shared" ref="J89:T89" si="33" xml:space="preserve"> J$86</f>
        <v>0</v>
      </c>
      <c r="K89" s="156">
        <f t="shared" si="33"/>
        <v>0</v>
      </c>
      <c r="L89" s="156">
        <f t="shared" si="33"/>
        <v>0</v>
      </c>
      <c r="M89" s="156">
        <f t="shared" si="33"/>
        <v>0</v>
      </c>
      <c r="N89" s="156">
        <f t="shared" si="33"/>
        <v>0</v>
      </c>
      <c r="O89" s="156">
        <f t="shared" si="33"/>
        <v>0</v>
      </c>
      <c r="P89" s="156">
        <f t="shared" si="33"/>
        <v>-0.99122927440796493</v>
      </c>
      <c r="Q89" s="156">
        <f t="shared" si="33"/>
        <v>-0.42603021661670643</v>
      </c>
      <c r="R89" s="156">
        <f t="shared" si="33"/>
        <v>-0.26241374717582078</v>
      </c>
      <c r="S89" s="156">
        <f t="shared" si="33"/>
        <v>0</v>
      </c>
      <c r="T89" s="156">
        <f t="shared" si="33"/>
        <v>-30.585963050138233</v>
      </c>
      <c r="U89" s="156">
        <f xml:space="preserve"> U$86</f>
        <v>0</v>
      </c>
      <c r="V89" s="156">
        <f xml:space="preserve"> V$86</f>
        <v>0</v>
      </c>
      <c r="W89" s="156">
        <f xml:space="preserve"> W$86</f>
        <v>0</v>
      </c>
    </row>
    <row r="90" spans="1:23" outlineLevel="1">
      <c r="B90" s="64"/>
      <c r="D90" s="159"/>
      <c r="E90" s="74" t="s">
        <v>394</v>
      </c>
      <c r="G90" s="57" t="s">
        <v>97</v>
      </c>
      <c r="H90" s="94">
        <f xml:space="preserve"> SUM(J90:W90)</f>
        <v>-33.207792867958212</v>
      </c>
      <c r="J90" s="94">
        <f t="shared" ref="J90:T90" si="34" xml:space="preserve"> J89 * (1 + $F88)</f>
        <v>0</v>
      </c>
      <c r="K90" s="94">
        <f xml:space="preserve"> K89 * (1 + $F88)</f>
        <v>0</v>
      </c>
      <c r="L90" s="94">
        <f t="shared" si="34"/>
        <v>0</v>
      </c>
      <c r="M90" s="94">
        <f t="shared" si="34"/>
        <v>0</v>
      </c>
      <c r="N90" s="94">
        <f t="shared" si="34"/>
        <v>0</v>
      </c>
      <c r="O90" s="94">
        <f t="shared" si="34"/>
        <v>0</v>
      </c>
      <c r="P90" s="94">
        <f xml:space="preserve"> P89 * (1 + $F88)</f>
        <v>-1.0201731692206775</v>
      </c>
      <c r="Q90" s="94">
        <f t="shared" si="34"/>
        <v>-0.43847029894191419</v>
      </c>
      <c r="R90" s="94">
        <f t="shared" si="34"/>
        <v>-0.27007622859335473</v>
      </c>
      <c r="S90" s="94">
        <f t="shared" si="34"/>
        <v>0</v>
      </c>
      <c r="T90" s="94">
        <f t="shared" si="34"/>
        <v>-31.479073171202266</v>
      </c>
      <c r="U90" s="94">
        <f xml:space="preserve"> U89 * (1 + $F88)</f>
        <v>0</v>
      </c>
      <c r="V90" s="94">
        <f xml:space="preserve"> V89 * (1 + $F88)</f>
        <v>0</v>
      </c>
      <c r="W90" s="94">
        <f xml:space="preserve"> W89 * (1 + $F88)</f>
        <v>0</v>
      </c>
    </row>
    <row r="91" spans="1:23" outlineLevel="1">
      <c r="B91" s="64"/>
      <c r="D91" s="159"/>
      <c r="V91" s="57"/>
      <c r="W91" s="57"/>
    </row>
    <row r="92" spans="1:23" outlineLevel="1">
      <c r="B92" s="64"/>
      <c r="D92" s="159"/>
      <c r="E92" s="36" t="str">
        <f xml:space="preserve"> 'Indices and K factor'!E$11</f>
        <v>CPIH: Nov % increase (prior year) - CALC</v>
      </c>
      <c r="F92" s="36">
        <f xml:space="preserve"> 'Indices and K factor'!F$11</f>
        <v>0</v>
      </c>
      <c r="G92" s="36" t="str">
        <f xml:space="preserve"> 'Indices and K factor'!G$11</f>
        <v>%</v>
      </c>
      <c r="H92" s="36">
        <f xml:space="preserve"> 'Indices and K factor'!H$11</f>
        <v>0</v>
      </c>
      <c r="I92" s="36">
        <f xml:space="preserve"> 'Indices and K factor'!I$11</f>
        <v>0</v>
      </c>
      <c r="J92" s="36">
        <f xml:space="preserve"> 'Indices and K factor'!J$11</f>
        <v>0</v>
      </c>
      <c r="K92" s="36">
        <f xml:space="preserve"> 'Indices and K factor'!K$11</f>
        <v>0</v>
      </c>
      <c r="L92" s="36">
        <f xml:space="preserve"> 'Indices and K factor'!L$11</f>
        <v>1.0040040040040039</v>
      </c>
      <c r="M92" s="36">
        <f xml:space="preserve"> 'Indices and K factor'!M$11</f>
        <v>1.0149551345962113</v>
      </c>
      <c r="N92" s="36">
        <f xml:space="preserve"> 'Indices and K factor'!N$11</f>
        <v>1.0284872298624754</v>
      </c>
      <c r="O92" s="36">
        <f xml:space="preserve"> 'Indices and K factor'!O$11</f>
        <v>1.0210124164278893</v>
      </c>
      <c r="P92" s="36">
        <f xml:space="preserve"> 'Indices and K factor'!P$11</f>
        <v>1.0149672591206735</v>
      </c>
      <c r="Q92" s="36">
        <f xml:space="preserve"> 'Indices and K factor'!Q$11</f>
        <v>1.0055299539170506</v>
      </c>
      <c r="R92" s="36">
        <f xml:space="preserve"> 'Indices and K factor'!R$11</f>
        <v>1.0458295142071494</v>
      </c>
      <c r="S92" s="36">
        <f xml:space="preserve"> 'Indices and K factor'!S$11</f>
        <v>1.0937773882559159</v>
      </c>
      <c r="T92" s="36">
        <f xml:space="preserve"> 'Indices and K factor'!T$11</f>
        <v>1.042059294871795</v>
      </c>
      <c r="U92" s="36">
        <f xml:space="preserve"> 'Indices and K factor'!U$11</f>
        <v>1.0312779542070039</v>
      </c>
      <c r="V92" s="36">
        <f xml:space="preserve"> 'Indices and K factor'!V$11</f>
        <v>1.02</v>
      </c>
      <c r="W92" s="36">
        <f xml:space="preserve"> 'Indices and K factor'!W$11</f>
        <v>1.02</v>
      </c>
    </row>
    <row r="93" spans="1:23" outlineLevel="1">
      <c r="B93" s="64"/>
      <c r="D93" s="159"/>
      <c r="E93" s="35" t="str">
        <f t="shared" ref="E93:T93" si="35" xml:space="preserve"> E$90</f>
        <v>Penalty adjustment - with financing adjustment - WW-N+</v>
      </c>
      <c r="F93" s="35">
        <f t="shared" si="35"/>
        <v>0</v>
      </c>
      <c r="G93" s="35" t="str">
        <f t="shared" si="35"/>
        <v>£m</v>
      </c>
      <c r="H93" s="35">
        <f t="shared" si="35"/>
        <v>-33.207792867958212</v>
      </c>
      <c r="I93" s="35">
        <f t="shared" si="35"/>
        <v>0</v>
      </c>
      <c r="J93" s="35">
        <f t="shared" si="35"/>
        <v>0</v>
      </c>
      <c r="K93" s="35">
        <f t="shared" si="35"/>
        <v>0</v>
      </c>
      <c r="L93" s="35">
        <f t="shared" si="35"/>
        <v>0</v>
      </c>
      <c r="M93" s="35">
        <f t="shared" si="35"/>
        <v>0</v>
      </c>
      <c r="N93" s="35">
        <f t="shared" si="35"/>
        <v>0</v>
      </c>
      <c r="O93" s="35">
        <f t="shared" si="35"/>
        <v>0</v>
      </c>
      <c r="P93" s="35">
        <f t="shared" si="35"/>
        <v>-1.0201731692206775</v>
      </c>
      <c r="Q93" s="35">
        <f t="shared" si="35"/>
        <v>-0.43847029894191419</v>
      </c>
      <c r="R93" s="35">
        <f t="shared" si="35"/>
        <v>-0.27007622859335473</v>
      </c>
      <c r="S93" s="35">
        <f t="shared" si="35"/>
        <v>0</v>
      </c>
      <c r="T93" s="35">
        <f t="shared" si="35"/>
        <v>-31.479073171202266</v>
      </c>
      <c r="U93" s="35">
        <f xml:space="preserve"> U$90</f>
        <v>0</v>
      </c>
      <c r="V93" s="35">
        <f xml:space="preserve"> V$90</f>
        <v>0</v>
      </c>
      <c r="W93" s="35">
        <f xml:space="preserve"> W$90</f>
        <v>0</v>
      </c>
    </row>
    <row r="94" spans="1:23" outlineLevel="1">
      <c r="B94" s="64"/>
      <c r="D94" s="159"/>
      <c r="E94" s="45" t="str">
        <f xml:space="preserve"> Time!E$56</f>
        <v>Forecast period flag</v>
      </c>
      <c r="F94" s="45">
        <f xml:space="preserve"> Time!F$56</f>
        <v>0</v>
      </c>
      <c r="G94" s="45" t="str">
        <f xml:space="preserve"> Time!G$56</f>
        <v>flag</v>
      </c>
      <c r="H94" s="45">
        <f xml:space="preserve"> Time!H$56</f>
        <v>5</v>
      </c>
      <c r="I94" s="45">
        <f xml:space="preserve"> Time!I$56</f>
        <v>0</v>
      </c>
      <c r="J94" s="45">
        <f xml:space="preserve"> Time!J$56</f>
        <v>0</v>
      </c>
      <c r="K94" s="45">
        <f xml:space="preserve"> Time!K$56</f>
        <v>0</v>
      </c>
      <c r="L94" s="45">
        <f xml:space="preserve"> Time!L$56</f>
        <v>0</v>
      </c>
      <c r="M94" s="45">
        <f xml:space="preserve"> Time!M$56</f>
        <v>0</v>
      </c>
      <c r="N94" s="45">
        <f xml:space="preserve"> Time!N$56</f>
        <v>0</v>
      </c>
      <c r="O94" s="45">
        <f xml:space="preserve"> Time!O$56</f>
        <v>0</v>
      </c>
      <c r="P94" s="45">
        <f xml:space="preserve"> Time!P$56</f>
        <v>1</v>
      </c>
      <c r="Q94" s="45">
        <f xml:space="preserve"> Time!Q$56</f>
        <v>1</v>
      </c>
      <c r="R94" s="45">
        <f xml:space="preserve"> Time!R$56</f>
        <v>1</v>
      </c>
      <c r="S94" s="45">
        <f xml:space="preserve"> Time!S$56</f>
        <v>1</v>
      </c>
      <c r="T94" s="45">
        <f xml:space="preserve"> Time!T$56</f>
        <v>1</v>
      </c>
      <c r="U94" s="45">
        <f xml:space="preserve"> Time!U$56</f>
        <v>0</v>
      </c>
      <c r="V94" s="45">
        <f xml:space="preserve"> Time!V$56</f>
        <v>0</v>
      </c>
      <c r="W94" s="45">
        <f xml:space="preserve"> Time!W$56</f>
        <v>0</v>
      </c>
    </row>
    <row r="95" spans="1:23" outlineLevel="1">
      <c r="A95" s="63"/>
      <c r="C95" s="110"/>
      <c r="E95" s="82" t="s">
        <v>395</v>
      </c>
      <c r="F95" s="109"/>
      <c r="G95" s="109" t="s">
        <v>97</v>
      </c>
      <c r="H95" s="106">
        <f xml:space="preserve"> SUM( J95:W95 )</f>
        <v>-34.99517088211288</v>
      </c>
      <c r="I95" s="58"/>
      <c r="J95" s="224">
        <f xml:space="preserve"> IF( J94 = 1, J93 * K92 * L92, 0 )</f>
        <v>0</v>
      </c>
      <c r="K95" s="224">
        <f t="shared" ref="K95:U95" si="36" xml:space="preserve"> IF( K94 = 1, K93 * L92 * M92, 0 )</f>
        <v>0</v>
      </c>
      <c r="L95" s="224">
        <f t="shared" si="36"/>
        <v>0</v>
      </c>
      <c r="M95" s="224">
        <f t="shared" si="36"/>
        <v>0</v>
      </c>
      <c r="N95" s="224">
        <f t="shared" si="36"/>
        <v>0</v>
      </c>
      <c r="O95" s="224">
        <f t="shared" si="36"/>
        <v>0</v>
      </c>
      <c r="P95" s="224">
        <f t="shared" si="36"/>
        <v>-1.0728272682772284</v>
      </c>
      <c r="Q95" s="224">
        <f t="shared" si="36"/>
        <v>-0.50156822463749673</v>
      </c>
      <c r="R95" s="224">
        <f t="shared" si="36"/>
        <v>-0.30782772526150043</v>
      </c>
      <c r="S95" s="224">
        <f t="shared" si="36"/>
        <v>0</v>
      </c>
      <c r="T95" s="224">
        <f t="shared" si="36"/>
        <v>-33.112947663936652</v>
      </c>
      <c r="U95" s="224">
        <f t="shared" si="36"/>
        <v>0</v>
      </c>
      <c r="V95" s="237"/>
      <c r="W95" s="237"/>
    </row>
    <row r="96" spans="1:23" customFormat="1" outlineLevel="1"/>
    <row r="97" spans="1:23" ht="14.1" customHeight="1" outlineLevel="1">
      <c r="A97" s="63"/>
      <c r="B97" s="63" t="s">
        <v>344</v>
      </c>
      <c r="C97" s="110"/>
      <c r="E97" s="74"/>
    </row>
    <row r="98" spans="1:23" ht="14.1" customHeight="1" outlineLevel="1">
      <c r="A98" s="63"/>
      <c r="C98" s="110"/>
      <c r="E98" s="74"/>
    </row>
    <row r="99" spans="1:23" outlineLevel="1">
      <c r="A99" s="63"/>
      <c r="C99" s="110"/>
      <c r="E99" s="36" t="str">
        <f xml:space="preserve"> Inputs!E$65</f>
        <v>Threshold for additional variance analyses</v>
      </c>
      <c r="F99" s="36">
        <f xml:space="preserve"> Inputs!F$65</f>
        <v>0.06</v>
      </c>
      <c r="G99" s="36" t="str">
        <f xml:space="preserve"> Inputs!G$65</f>
        <v>%</v>
      </c>
      <c r="H99" s="36">
        <f xml:space="preserve"> Inputs!H$65</f>
        <v>0</v>
      </c>
      <c r="I99" s="36">
        <f xml:space="preserve"> Inputs!I$65</f>
        <v>0</v>
      </c>
      <c r="J99" s="36">
        <f xml:space="preserve"> Inputs!J$65</f>
        <v>0</v>
      </c>
      <c r="K99" s="36">
        <f xml:space="preserve"> Inputs!K$65</f>
        <v>0</v>
      </c>
      <c r="L99" s="36">
        <f xml:space="preserve"> Inputs!L$65</f>
        <v>0</v>
      </c>
      <c r="M99" s="36">
        <f xml:space="preserve"> Inputs!M$65</f>
        <v>0</v>
      </c>
      <c r="N99" s="36">
        <f xml:space="preserve"> Inputs!N$65</f>
        <v>0</v>
      </c>
      <c r="O99" s="36">
        <f xml:space="preserve"> Inputs!O$65</f>
        <v>0</v>
      </c>
      <c r="P99" s="36">
        <f xml:space="preserve"> Inputs!P$65</f>
        <v>0</v>
      </c>
      <c r="Q99" s="36">
        <f xml:space="preserve"> Inputs!Q$65</f>
        <v>0</v>
      </c>
      <c r="R99" s="36">
        <f xml:space="preserve"> Inputs!R$65</f>
        <v>0</v>
      </c>
      <c r="S99" s="36">
        <f xml:space="preserve"> Inputs!S$65</f>
        <v>0</v>
      </c>
      <c r="T99" s="36">
        <f xml:space="preserve"> Inputs!T$65</f>
        <v>0</v>
      </c>
      <c r="U99" s="36">
        <f xml:space="preserve"> Inputs!U$65</f>
        <v>0</v>
      </c>
      <c r="V99" s="36">
        <f xml:space="preserve"> Inputs!V$65</f>
        <v>0</v>
      </c>
      <c r="W99" s="36">
        <f xml:space="preserve"> Inputs!W$65</f>
        <v>0</v>
      </c>
    </row>
    <row r="100" spans="1:23" outlineLevel="1">
      <c r="A100" s="63"/>
      <c r="C100" s="110"/>
      <c r="E100" s="38" t="str">
        <f>E$64</f>
        <v>Forecast error - WW-N+</v>
      </c>
      <c r="F100" s="38">
        <f>F$64</f>
        <v>0</v>
      </c>
      <c r="G100" s="38" t="str">
        <f>G$64</f>
        <v>%</v>
      </c>
      <c r="H100" s="38">
        <f>H$64</f>
        <v>0</v>
      </c>
      <c r="I100" s="38">
        <f>I$64</f>
        <v>0</v>
      </c>
      <c r="J100" s="38">
        <f t="shared" ref="J100:W100" si="37">J$64</f>
        <v>0</v>
      </c>
      <c r="K100" s="38">
        <f t="shared" si="37"/>
        <v>0</v>
      </c>
      <c r="L100" s="38">
        <f t="shared" si="37"/>
        <v>0</v>
      </c>
      <c r="M100" s="38">
        <f t="shared" si="37"/>
        <v>0</v>
      </c>
      <c r="N100" s="38">
        <f t="shared" si="37"/>
        <v>0</v>
      </c>
      <c r="O100" s="38">
        <f t="shared" si="37"/>
        <v>0</v>
      </c>
      <c r="P100" s="38">
        <f t="shared" si="37"/>
        <v>3.8479204193774222E-2</v>
      </c>
      <c r="Q100" s="38">
        <f>Q$64</f>
        <v>2.6303671656755161E-2</v>
      </c>
      <c r="R100" s="38">
        <f t="shared" si="37"/>
        <v>2.4073585516641571E-2</v>
      </c>
      <c r="S100" s="38">
        <f t="shared" si="37"/>
        <v>1.6149613176324913E-2</v>
      </c>
      <c r="T100" s="38">
        <f t="shared" si="37"/>
        <v>1</v>
      </c>
      <c r="U100" s="38">
        <f t="shared" si="37"/>
        <v>0</v>
      </c>
      <c r="V100" s="38">
        <f t="shared" si="37"/>
        <v>0</v>
      </c>
      <c r="W100" s="38">
        <f t="shared" si="37"/>
        <v>0</v>
      </c>
    </row>
    <row r="101" spans="1:23" outlineLevel="1">
      <c r="A101" s="63"/>
      <c r="C101" s="110"/>
      <c r="E101" s="74" t="s">
        <v>396</v>
      </c>
      <c r="F101" s="158">
        <f xml:space="preserve"> IF(SUM(J101:W101) &gt; 0, 1, 0)</f>
        <v>1</v>
      </c>
      <c r="G101" s="57" t="s">
        <v>346</v>
      </c>
      <c r="J101" s="158">
        <f t="shared" ref="J101:W101" si="38" xml:space="preserve"> IF(ABS(J100) &gt; $F99, 1, 0)</f>
        <v>0</v>
      </c>
      <c r="K101" s="158">
        <f t="shared" si="38"/>
        <v>0</v>
      </c>
      <c r="L101" s="158">
        <f t="shared" si="38"/>
        <v>0</v>
      </c>
      <c r="M101" s="158">
        <f t="shared" si="38"/>
        <v>0</v>
      </c>
      <c r="N101" s="158">
        <f t="shared" si="38"/>
        <v>0</v>
      </c>
      <c r="O101" s="158">
        <f t="shared" si="38"/>
        <v>0</v>
      </c>
      <c r="P101" s="158">
        <f t="shared" si="38"/>
        <v>0</v>
      </c>
      <c r="Q101" s="158">
        <f t="shared" si="38"/>
        <v>0</v>
      </c>
      <c r="R101" s="158">
        <f t="shared" si="38"/>
        <v>0</v>
      </c>
      <c r="S101" s="158">
        <f t="shared" si="38"/>
        <v>0</v>
      </c>
      <c r="T101" s="158">
        <f t="shared" si="38"/>
        <v>1</v>
      </c>
      <c r="U101" s="158">
        <f t="shared" si="38"/>
        <v>0</v>
      </c>
      <c r="V101" s="158">
        <f t="shared" si="38"/>
        <v>0</v>
      </c>
      <c r="W101" s="158">
        <f t="shared" si="38"/>
        <v>0</v>
      </c>
    </row>
    <row r="102" spans="1:23" outlineLevel="1">
      <c r="A102" s="63"/>
      <c r="C102" s="110"/>
      <c r="E102" s="74"/>
      <c r="V102" s="57"/>
      <c r="W102" s="57"/>
    </row>
    <row r="103" spans="1:23" customFormat="1" ht="12.75" customHeight="1">
      <c r="A103" s="115" t="s">
        <v>352</v>
      </c>
      <c r="B103" s="115"/>
      <c r="C103" s="114"/>
      <c r="D103" s="115"/>
      <c r="E103" s="115"/>
      <c r="F103" s="115"/>
      <c r="G103" s="115"/>
      <c r="H103" s="115"/>
      <c r="I103" s="115"/>
      <c r="J103" s="115"/>
      <c r="K103" s="115"/>
      <c r="L103" s="115"/>
      <c r="M103" s="115"/>
      <c r="N103" s="115"/>
      <c r="O103" s="115"/>
      <c r="P103" s="115"/>
      <c r="Q103" s="115"/>
      <c r="R103" s="115"/>
      <c r="S103" s="115"/>
      <c r="T103" s="115"/>
      <c r="U103" s="115"/>
      <c r="V103" s="115"/>
      <c r="W103" s="115"/>
    </row>
    <row r="104" spans="1:23">
      <c r="A104" s="63"/>
      <c r="C104" s="110"/>
      <c r="E104" s="74"/>
      <c r="V104" s="57"/>
      <c r="W104" s="57"/>
    </row>
    <row r="105" spans="1:23" outlineLevel="1">
      <c r="A105" s="63"/>
      <c r="C105" s="110"/>
      <c r="E105" s="128" t="str">
        <f xml:space="preserve"> E$56</f>
        <v>Main revenue adjustment - with financing adjustment &amp; 2 year lag of inflation - WW-N+</v>
      </c>
      <c r="F105" s="128">
        <f xml:space="preserve"> F$56</f>
        <v>0</v>
      </c>
      <c r="G105" s="128" t="str">
        <f xml:space="preserve"> G$56</f>
        <v>£m</v>
      </c>
      <c r="H105" s="35">
        <f xml:space="preserve"> H$56</f>
        <v>90.026571697875511</v>
      </c>
      <c r="I105" s="35">
        <f xml:space="preserve"> I$56</f>
        <v>0</v>
      </c>
      <c r="J105" s="35">
        <f t="shared" ref="J105:W105" si="39" xml:space="preserve"> J$56</f>
        <v>0</v>
      </c>
      <c r="K105" s="35">
        <f xml:space="preserve"> K$56</f>
        <v>0</v>
      </c>
      <c r="L105" s="35">
        <f t="shared" si="39"/>
        <v>0</v>
      </c>
      <c r="M105" s="35">
        <f t="shared" si="39"/>
        <v>0</v>
      </c>
      <c r="N105" s="35">
        <f t="shared" si="39"/>
        <v>0</v>
      </c>
      <c r="O105" s="35">
        <f t="shared" si="39"/>
        <v>0</v>
      </c>
      <c r="P105" s="35">
        <f t="shared" si="39"/>
        <v>36.805127483697454</v>
      </c>
      <c r="Q105" s="35">
        <f t="shared" si="39"/>
        <v>27.297002176169535</v>
      </c>
      <c r="R105" s="35">
        <f t="shared" si="39"/>
        <v>25.924442038008518</v>
      </c>
      <c r="S105" s="35">
        <f t="shared" si="39"/>
        <v>0</v>
      </c>
      <c r="T105" s="35">
        <f t="shared" si="39"/>
        <v>0</v>
      </c>
      <c r="U105" s="35">
        <f t="shared" si="39"/>
        <v>0</v>
      </c>
      <c r="V105" s="35">
        <f t="shared" si="39"/>
        <v>0</v>
      </c>
      <c r="W105" s="35">
        <f t="shared" si="39"/>
        <v>0</v>
      </c>
    </row>
    <row r="106" spans="1:23" outlineLevel="1">
      <c r="A106" s="63"/>
      <c r="C106" s="110"/>
      <c r="E106" s="94" t="str">
        <f t="shared" ref="E106:T106" si="40" xml:space="preserve"> E$95</f>
        <v>Penalty adjustment - with financing adjustment &amp; 2 year lag of inflation - WW-N+</v>
      </c>
      <c r="F106" s="94">
        <f t="shared" si="40"/>
        <v>0</v>
      </c>
      <c r="G106" s="94" t="str">
        <f t="shared" si="40"/>
        <v>£m</v>
      </c>
      <c r="H106" s="94">
        <f t="shared" si="40"/>
        <v>-34.99517088211288</v>
      </c>
      <c r="I106" s="94">
        <f t="shared" si="40"/>
        <v>0</v>
      </c>
      <c r="J106" s="94">
        <f t="shared" si="40"/>
        <v>0</v>
      </c>
      <c r="K106" s="94">
        <f xml:space="preserve"> K$95</f>
        <v>0</v>
      </c>
      <c r="L106" s="94">
        <f t="shared" si="40"/>
        <v>0</v>
      </c>
      <c r="M106" s="94">
        <f t="shared" si="40"/>
        <v>0</v>
      </c>
      <c r="N106" s="94">
        <f t="shared" si="40"/>
        <v>0</v>
      </c>
      <c r="O106" s="94">
        <f t="shared" si="40"/>
        <v>0</v>
      </c>
      <c r="P106" s="94">
        <f t="shared" si="40"/>
        <v>-1.0728272682772284</v>
      </c>
      <c r="Q106" s="94">
        <f t="shared" si="40"/>
        <v>-0.50156822463749673</v>
      </c>
      <c r="R106" s="94">
        <f t="shared" si="40"/>
        <v>-0.30782772526150043</v>
      </c>
      <c r="S106" s="94">
        <f t="shared" si="40"/>
        <v>0</v>
      </c>
      <c r="T106" s="94">
        <f t="shared" si="40"/>
        <v>-33.112947663936652</v>
      </c>
      <c r="U106" s="94">
        <f xml:space="preserve"> U$95</f>
        <v>0</v>
      </c>
      <c r="V106" s="94">
        <f xml:space="preserve"> V$95</f>
        <v>0</v>
      </c>
      <c r="W106" s="94">
        <f xml:space="preserve"> W$95</f>
        <v>0</v>
      </c>
    </row>
    <row r="107" spans="1:23" outlineLevel="1">
      <c r="A107" s="63"/>
      <c r="C107" s="110"/>
      <c r="E107" s="45" t="str">
        <f xml:space="preserve"> Time!E$56</f>
        <v>Forecast period flag</v>
      </c>
      <c r="F107" s="45">
        <f xml:space="preserve"> Time!F$56</f>
        <v>0</v>
      </c>
      <c r="G107" s="45" t="str">
        <f xml:space="preserve"> Time!G$56</f>
        <v>flag</v>
      </c>
      <c r="H107" s="45">
        <f xml:space="preserve"> Time!H$56</f>
        <v>5</v>
      </c>
      <c r="I107" s="45">
        <f xml:space="preserve"> Time!I$56</f>
        <v>0</v>
      </c>
      <c r="J107" s="45">
        <f xml:space="preserve"> Time!J$56</f>
        <v>0</v>
      </c>
      <c r="K107" s="45">
        <f xml:space="preserve"> Time!K$56</f>
        <v>0</v>
      </c>
      <c r="L107" s="45">
        <f xml:space="preserve"> Time!L$56</f>
        <v>0</v>
      </c>
      <c r="M107" s="45">
        <f xml:space="preserve"> Time!M$56</f>
        <v>0</v>
      </c>
      <c r="N107" s="45">
        <f xml:space="preserve"> Time!N$56</f>
        <v>0</v>
      </c>
      <c r="O107" s="45">
        <f xml:space="preserve"> Time!O$56</f>
        <v>0</v>
      </c>
      <c r="P107" s="45">
        <f xml:space="preserve"> Time!P$56</f>
        <v>1</v>
      </c>
      <c r="Q107" s="45">
        <f xml:space="preserve"> Time!Q$56</f>
        <v>1</v>
      </c>
      <c r="R107" s="45">
        <f xml:space="preserve"> Time!R$56</f>
        <v>1</v>
      </c>
      <c r="S107" s="45">
        <f xml:space="preserve"> Time!S$56</f>
        <v>1</v>
      </c>
      <c r="T107" s="45">
        <f xml:space="preserve"> Time!T$56</f>
        <v>1</v>
      </c>
      <c r="U107" s="45">
        <f xml:space="preserve"> Time!U$56</f>
        <v>0</v>
      </c>
      <c r="V107" s="45">
        <f xml:space="preserve"> Time!V$56</f>
        <v>0</v>
      </c>
      <c r="W107" s="45">
        <f xml:space="preserve"> Time!W$56</f>
        <v>0</v>
      </c>
    </row>
    <row r="108" spans="1:23" s="175" customFormat="1" ht="13.8" outlineLevel="1" thickBot="1">
      <c r="A108" s="90"/>
      <c r="B108" s="90"/>
      <c r="C108" s="91"/>
      <c r="D108" s="293"/>
      <c r="E108" s="287" t="s">
        <v>397</v>
      </c>
      <c r="F108" s="287" t="s">
        <v>355</v>
      </c>
      <c r="G108" s="287" t="s">
        <v>97</v>
      </c>
      <c r="H108" s="287">
        <f xml:space="preserve"> SUM(J108:W108)</f>
        <v>88.144348479699289</v>
      </c>
      <c r="I108" s="287"/>
      <c r="J108" s="270"/>
      <c r="K108" s="287">
        <f t="shared" ref="K108:P108" si="41" xml:space="preserve"> ( I105 + I106 ) * K107</f>
        <v>0</v>
      </c>
      <c r="L108" s="287">
        <f t="shared" si="41"/>
        <v>0</v>
      </c>
      <c r="M108" s="287">
        <f t="shared" si="41"/>
        <v>0</v>
      </c>
      <c r="N108" s="287">
        <f t="shared" si="41"/>
        <v>0</v>
      </c>
      <c r="O108" s="287">
        <f t="shared" si="41"/>
        <v>0</v>
      </c>
      <c r="P108" s="287">
        <f t="shared" si="41"/>
        <v>0</v>
      </c>
      <c r="Q108" s="287">
        <f t="shared" ref="Q108:W108" si="42" xml:space="preserve"> ( O105 + O106 ) * Q107</f>
        <v>0</v>
      </c>
      <c r="R108" s="287">
        <f t="shared" si="42"/>
        <v>35.732300215420224</v>
      </c>
      <c r="S108" s="287">
        <f t="shared" si="42"/>
        <v>26.79543395153204</v>
      </c>
      <c r="T108" s="287">
        <f xml:space="preserve"> ( R105 + R106 ) * T107</f>
        <v>25.616614312747018</v>
      </c>
      <c r="U108" s="287">
        <f t="shared" si="42"/>
        <v>0</v>
      </c>
      <c r="V108" s="287">
        <f t="shared" si="42"/>
        <v>0</v>
      </c>
      <c r="W108" s="287">
        <f t="shared" si="42"/>
        <v>0</v>
      </c>
    </row>
    <row r="109" spans="1:23" ht="13.8" outlineLevel="1" thickTop="1">
      <c r="A109" s="63"/>
      <c r="C109" s="110"/>
      <c r="E109" s="74"/>
      <c r="V109" s="57"/>
      <c r="W109" s="57"/>
    </row>
    <row r="110" spans="1:23">
      <c r="A110" s="115" t="s">
        <v>358</v>
      </c>
      <c r="B110" s="115"/>
      <c r="C110" s="114"/>
      <c r="D110" s="115"/>
      <c r="E110" s="115"/>
      <c r="F110" s="115"/>
      <c r="G110" s="115"/>
      <c r="H110" s="115"/>
      <c r="I110" s="115"/>
      <c r="J110" s="115"/>
      <c r="K110" s="115"/>
      <c r="L110" s="115"/>
      <c r="M110" s="115"/>
      <c r="N110" s="115"/>
      <c r="O110" s="115"/>
      <c r="P110" s="115"/>
      <c r="Q110" s="115"/>
      <c r="R110" s="115"/>
      <c r="S110" s="115"/>
      <c r="T110" s="115"/>
      <c r="U110" s="115"/>
      <c r="V110" s="115"/>
      <c r="W110" s="115"/>
    </row>
    <row r="111" spans="1:23">
      <c r="A111" s="63"/>
      <c r="C111" s="110"/>
      <c r="E111" s="74"/>
      <c r="V111" s="57"/>
      <c r="W111" s="57"/>
    </row>
    <row r="112" spans="1:23" outlineLevel="1">
      <c r="B112" s="64" t="s">
        <v>398</v>
      </c>
      <c r="D112" s="159"/>
      <c r="E112" s="129"/>
      <c r="F112" s="101"/>
      <c r="G112" s="101"/>
      <c r="H112" s="101"/>
      <c r="J112" s="101"/>
      <c r="K112" s="101"/>
      <c r="L112" s="101"/>
      <c r="M112" s="101"/>
      <c r="N112" s="101"/>
      <c r="O112" s="101"/>
      <c r="P112" s="101"/>
      <c r="Q112" s="101"/>
      <c r="R112" s="101"/>
      <c r="S112" s="101"/>
      <c r="T112" s="101"/>
      <c r="U112" s="101"/>
      <c r="V112" s="101"/>
      <c r="W112" s="101"/>
    </row>
    <row r="113" spans="1:23" outlineLevel="1">
      <c r="B113" s="64"/>
      <c r="D113" s="159"/>
      <c r="E113" s="129"/>
      <c r="F113" s="101"/>
      <c r="G113" s="101"/>
      <c r="H113" s="101"/>
      <c r="J113" s="101"/>
      <c r="K113" s="101"/>
      <c r="L113" s="101"/>
      <c r="M113" s="101"/>
      <c r="N113" s="101"/>
      <c r="O113" s="101"/>
      <c r="P113" s="101"/>
      <c r="Q113" s="101"/>
      <c r="R113" s="101"/>
      <c r="S113" s="101"/>
      <c r="T113" s="101"/>
      <c r="U113" s="101"/>
      <c r="V113" s="101"/>
      <c r="W113" s="101"/>
    </row>
    <row r="114" spans="1:23" outlineLevel="1">
      <c r="B114" s="64"/>
      <c r="D114" s="159"/>
      <c r="E114" s="43" t="str">
        <f xml:space="preserve"> Inputs!E$63</f>
        <v>Discount rate</v>
      </c>
      <c r="F114" s="43">
        <f xml:space="preserve"> Inputs!F$63</f>
        <v>2.92E-2</v>
      </c>
      <c r="G114" s="43" t="str">
        <f xml:space="preserve"> Inputs!G$63</f>
        <v>%</v>
      </c>
      <c r="H114" s="43">
        <f xml:space="preserve"> Inputs!H$63</f>
        <v>0</v>
      </c>
      <c r="I114" s="43">
        <f xml:space="preserve"> Inputs!I$63</f>
        <v>0</v>
      </c>
      <c r="J114" s="43">
        <f xml:space="preserve"> Inputs!J$63</f>
        <v>0</v>
      </c>
      <c r="K114" s="43">
        <f xml:space="preserve"> Inputs!K$63</f>
        <v>0</v>
      </c>
      <c r="L114" s="43">
        <f xml:space="preserve"> Inputs!L$63</f>
        <v>0</v>
      </c>
      <c r="M114" s="43">
        <f xml:space="preserve"> Inputs!M$63</f>
        <v>0</v>
      </c>
      <c r="N114" s="43">
        <f xml:space="preserve"> Inputs!N$63</f>
        <v>0</v>
      </c>
      <c r="O114" s="43">
        <f xml:space="preserve"> Inputs!O$63</f>
        <v>0</v>
      </c>
      <c r="P114" s="43">
        <f xml:space="preserve"> Inputs!P$63</f>
        <v>0</v>
      </c>
      <c r="Q114" s="43">
        <f xml:space="preserve"> Inputs!Q$63</f>
        <v>0</v>
      </c>
      <c r="R114" s="43">
        <f xml:space="preserve"> Inputs!R$63</f>
        <v>0</v>
      </c>
      <c r="S114" s="43">
        <f xml:space="preserve"> Inputs!S$63</f>
        <v>0</v>
      </c>
      <c r="T114" s="43">
        <f xml:space="preserve"> Inputs!T$63</f>
        <v>0</v>
      </c>
      <c r="U114" s="43">
        <f xml:space="preserve"> Inputs!U$63</f>
        <v>0</v>
      </c>
      <c r="V114" s="43">
        <f xml:space="preserve"> Inputs!V$63</f>
        <v>0</v>
      </c>
      <c r="W114" s="43">
        <f xml:space="preserve"> Inputs!W$63</f>
        <v>0</v>
      </c>
    </row>
    <row r="115" spans="1:23" outlineLevel="1">
      <c r="B115" s="64"/>
      <c r="D115" s="159"/>
      <c r="E115" s="43" t="str">
        <f xml:space="preserve"> 'Indices and K factor'!E$11</f>
        <v>CPIH: Nov % increase (prior year) - CALC</v>
      </c>
      <c r="F115" s="43">
        <f xml:space="preserve"> 'Indices and K factor'!F$11</f>
        <v>0</v>
      </c>
      <c r="G115" s="43" t="str">
        <f xml:space="preserve"> 'Indices and K factor'!G$11</f>
        <v>%</v>
      </c>
      <c r="H115" s="43">
        <f xml:space="preserve"> 'Indices and K factor'!H$11</f>
        <v>0</v>
      </c>
      <c r="I115" s="43">
        <f xml:space="preserve"> 'Indices and K factor'!I$11</f>
        <v>0</v>
      </c>
      <c r="J115" s="43">
        <f xml:space="preserve"> 'Indices and K factor'!J$11</f>
        <v>0</v>
      </c>
      <c r="K115" s="43">
        <f xml:space="preserve"> 'Indices and K factor'!K$11</f>
        <v>0</v>
      </c>
      <c r="L115" s="43">
        <f xml:space="preserve"> 'Indices and K factor'!L$11</f>
        <v>1.0040040040040039</v>
      </c>
      <c r="M115" s="43">
        <f xml:space="preserve"> 'Indices and K factor'!M$11</f>
        <v>1.0149551345962113</v>
      </c>
      <c r="N115" s="43">
        <f xml:space="preserve"> 'Indices and K factor'!N$11</f>
        <v>1.0284872298624754</v>
      </c>
      <c r="O115" s="43">
        <f xml:space="preserve"> 'Indices and K factor'!O$11</f>
        <v>1.0210124164278893</v>
      </c>
      <c r="P115" s="43">
        <f xml:space="preserve"> 'Indices and K factor'!P$11</f>
        <v>1.0149672591206735</v>
      </c>
      <c r="Q115" s="43">
        <f xml:space="preserve"> 'Indices and K factor'!Q$11</f>
        <v>1.0055299539170506</v>
      </c>
      <c r="R115" s="43">
        <f xml:space="preserve"> 'Indices and K factor'!R$11</f>
        <v>1.0458295142071494</v>
      </c>
      <c r="S115" s="43">
        <f xml:space="preserve"> 'Indices and K factor'!S$11</f>
        <v>1.0937773882559159</v>
      </c>
      <c r="T115" s="43">
        <f xml:space="preserve"> 'Indices and K factor'!T$11</f>
        <v>1.042059294871795</v>
      </c>
      <c r="U115" s="43">
        <f xml:space="preserve"> 'Indices and K factor'!U$11</f>
        <v>1.0312779542070039</v>
      </c>
      <c r="V115" s="43">
        <f xml:space="preserve"> 'Indices and K factor'!V$11</f>
        <v>1.02</v>
      </c>
      <c r="W115" s="43">
        <f xml:space="preserve"> 'Indices and K factor'!W$11</f>
        <v>1.02</v>
      </c>
    </row>
    <row r="116" spans="1:23" outlineLevel="1">
      <c r="B116" s="64"/>
      <c r="D116" s="159"/>
      <c r="E116" s="296" t="str">
        <f xml:space="preserve"> E$44</f>
        <v xml:space="preserve">Revenue Imbalance  - WW-N+ </v>
      </c>
      <c r="F116" s="296">
        <f t="shared" ref="F116:W116" si="43" xml:space="preserve"> F$44</f>
        <v>0</v>
      </c>
      <c r="G116" s="296" t="str">
        <f t="shared" si="43"/>
        <v>£m</v>
      </c>
      <c r="H116" s="296">
        <f t="shared" si="43"/>
        <v>1111.520126764334</v>
      </c>
      <c r="I116" s="296">
        <f t="shared" si="43"/>
        <v>0</v>
      </c>
      <c r="J116" s="296">
        <f t="shared" si="43"/>
        <v>0</v>
      </c>
      <c r="K116" s="296">
        <f t="shared" si="43"/>
        <v>0</v>
      </c>
      <c r="L116" s="296">
        <f t="shared" si="43"/>
        <v>0</v>
      </c>
      <c r="M116" s="296">
        <f t="shared" si="43"/>
        <v>0</v>
      </c>
      <c r="N116" s="296">
        <f t="shared" si="43"/>
        <v>0</v>
      </c>
      <c r="O116" s="296">
        <f t="shared" si="43"/>
        <v>0</v>
      </c>
      <c r="P116" s="296">
        <f t="shared" si="43"/>
        <v>33.040975813598834</v>
      </c>
      <c r="Q116" s="296">
        <f t="shared" si="43"/>
        <v>22.528151835666677</v>
      </c>
      <c r="R116" s="296">
        <f t="shared" si="43"/>
        <v>21.472790665929551</v>
      </c>
      <c r="S116" s="296">
        <f t="shared" si="43"/>
        <v>14.946106777864543</v>
      </c>
      <c r="T116" s="296">
        <f t="shared" si="43"/>
        <v>1019.5321016712744</v>
      </c>
      <c r="U116" s="296">
        <f t="shared" si="43"/>
        <v>0</v>
      </c>
      <c r="V116" s="296">
        <f t="shared" si="43"/>
        <v>0</v>
      </c>
      <c r="W116" s="296">
        <f t="shared" si="43"/>
        <v>0</v>
      </c>
    </row>
    <row r="117" spans="1:23" s="129" customFormat="1" outlineLevel="1">
      <c r="A117" s="166"/>
      <c r="B117" s="166"/>
      <c r="C117" s="167"/>
      <c r="D117" s="75"/>
      <c r="E117" s="98" t="str">
        <f xml:space="preserve"> Time!E$51</f>
        <v>Forecast end period flag</v>
      </c>
      <c r="F117" s="98">
        <f xml:space="preserve"> Time!F$51</f>
        <v>0</v>
      </c>
      <c r="G117" s="98" t="str">
        <f xml:space="preserve"> Time!G$51</f>
        <v>flag</v>
      </c>
      <c r="H117" s="98">
        <f xml:space="preserve"> Time!H$51</f>
        <v>1</v>
      </c>
      <c r="I117" s="98">
        <f xml:space="preserve"> Time!I$51</f>
        <v>0</v>
      </c>
      <c r="J117" s="98">
        <f xml:space="preserve"> Time!J$51</f>
        <v>0</v>
      </c>
      <c r="K117" s="98">
        <f xml:space="preserve"> Time!K$51</f>
        <v>0</v>
      </c>
      <c r="L117" s="98">
        <f xml:space="preserve"> Time!L$51</f>
        <v>0</v>
      </c>
      <c r="M117" s="98">
        <f xml:space="preserve"> Time!M$51</f>
        <v>0</v>
      </c>
      <c r="N117" s="98">
        <f xml:space="preserve"> Time!N$51</f>
        <v>0</v>
      </c>
      <c r="O117" s="98">
        <f xml:space="preserve"> Time!O$51</f>
        <v>0</v>
      </c>
      <c r="P117" s="98">
        <f xml:space="preserve"> Time!P$51</f>
        <v>0</v>
      </c>
      <c r="Q117" s="98">
        <f xml:space="preserve"> Time!Q$51</f>
        <v>0</v>
      </c>
      <c r="R117" s="98">
        <f xml:space="preserve"> Time!R$51</f>
        <v>0</v>
      </c>
      <c r="S117" s="98">
        <f xml:space="preserve"> Time!S$51</f>
        <v>0</v>
      </c>
      <c r="T117" s="98">
        <f xml:space="preserve"> Time!T$51</f>
        <v>1</v>
      </c>
      <c r="U117" s="98">
        <f xml:space="preserve"> Time!U$51</f>
        <v>0</v>
      </c>
      <c r="V117" s="98">
        <f xml:space="preserve"> Time!V$51</f>
        <v>0</v>
      </c>
      <c r="W117" s="98">
        <f xml:space="preserve"> Time!W$51</f>
        <v>0</v>
      </c>
    </row>
    <row r="118" spans="1:23" outlineLevel="1">
      <c r="B118" s="64"/>
      <c r="D118" s="159"/>
      <c r="E118" s="129" t="s">
        <v>399</v>
      </c>
      <c r="F118" s="101"/>
      <c r="G118" s="101" t="s">
        <v>97</v>
      </c>
      <c r="H118" s="93">
        <f xml:space="preserve"> SUM(J118:W118)</f>
        <v>16.029511591128667</v>
      </c>
      <c r="J118" s="93">
        <f t="shared" ref="J118:W118" si="44" xml:space="preserve"> IF(J117 = 1, I116 * J115 * (1 + $F114), 0)</f>
        <v>0</v>
      </c>
      <c r="K118" s="93">
        <f t="shared" si="44"/>
        <v>0</v>
      </c>
      <c r="L118" s="93">
        <f t="shared" si="44"/>
        <v>0</v>
      </c>
      <c r="M118" s="93">
        <f t="shared" si="44"/>
        <v>0</v>
      </c>
      <c r="N118" s="93">
        <f t="shared" si="44"/>
        <v>0</v>
      </c>
      <c r="O118" s="93">
        <f t="shared" si="44"/>
        <v>0</v>
      </c>
      <c r="P118" s="93">
        <f t="shared" si="44"/>
        <v>0</v>
      </c>
      <c r="Q118" s="93">
        <f t="shared" si="44"/>
        <v>0</v>
      </c>
      <c r="R118" s="93">
        <f t="shared" si="44"/>
        <v>0</v>
      </c>
      <c r="S118" s="93">
        <f t="shared" si="44"/>
        <v>0</v>
      </c>
      <c r="T118" s="93">
        <f t="shared" si="44"/>
        <v>16.029511591128667</v>
      </c>
      <c r="U118" s="93">
        <f t="shared" si="44"/>
        <v>0</v>
      </c>
      <c r="V118" s="93">
        <f t="shared" si="44"/>
        <v>0</v>
      </c>
      <c r="W118" s="93">
        <f t="shared" si="44"/>
        <v>0</v>
      </c>
    </row>
    <row r="119" spans="1:23" outlineLevel="1">
      <c r="B119" s="64"/>
      <c r="D119" s="159"/>
      <c r="E119" s="129"/>
      <c r="F119" s="101"/>
      <c r="G119" s="101"/>
      <c r="H119" s="93"/>
      <c r="J119" s="93"/>
      <c r="K119" s="93"/>
      <c r="L119" s="93"/>
      <c r="M119" s="93"/>
      <c r="N119" s="93"/>
      <c r="O119" s="93"/>
      <c r="P119" s="93"/>
      <c r="Q119" s="93"/>
      <c r="R119" s="93"/>
      <c r="S119" s="93"/>
      <c r="T119" s="93"/>
      <c r="U119" s="93"/>
      <c r="V119" s="93"/>
      <c r="W119" s="93"/>
    </row>
    <row r="120" spans="1:23" outlineLevel="1">
      <c r="B120" s="64"/>
      <c r="D120" s="159"/>
      <c r="E120" s="43" t="str">
        <f xml:space="preserve"> Inputs!E$63</f>
        <v>Discount rate</v>
      </c>
      <c r="F120" s="43">
        <f xml:space="preserve"> Inputs!F$63</f>
        <v>2.92E-2</v>
      </c>
      <c r="G120" s="43" t="str">
        <f xml:space="preserve"> Inputs!G$63</f>
        <v>%</v>
      </c>
      <c r="H120" s="43">
        <f xml:space="preserve"> Inputs!H$63</f>
        <v>0</v>
      </c>
      <c r="I120" s="43">
        <f xml:space="preserve"> Inputs!I$63</f>
        <v>0</v>
      </c>
      <c r="J120" s="43">
        <f xml:space="preserve"> Inputs!J$63</f>
        <v>0</v>
      </c>
      <c r="K120" s="43">
        <f xml:space="preserve"> Inputs!K$63</f>
        <v>0</v>
      </c>
      <c r="L120" s="43">
        <f xml:space="preserve"> Inputs!L$63</f>
        <v>0</v>
      </c>
      <c r="M120" s="43">
        <f xml:space="preserve"> Inputs!M$63</f>
        <v>0</v>
      </c>
      <c r="N120" s="43">
        <f xml:space="preserve"> Inputs!N$63</f>
        <v>0</v>
      </c>
      <c r="O120" s="43">
        <f xml:space="preserve"> Inputs!O$63</f>
        <v>0</v>
      </c>
      <c r="P120" s="43">
        <f xml:space="preserve"> Inputs!P$63</f>
        <v>0</v>
      </c>
      <c r="Q120" s="43">
        <f xml:space="preserve"> Inputs!Q$63</f>
        <v>0</v>
      </c>
      <c r="R120" s="43">
        <f xml:space="preserve"> Inputs!R$63</f>
        <v>0</v>
      </c>
      <c r="S120" s="43">
        <f xml:space="preserve"> Inputs!S$63</f>
        <v>0</v>
      </c>
      <c r="T120" s="43">
        <f xml:space="preserve"> Inputs!T$63</f>
        <v>0</v>
      </c>
      <c r="U120" s="43">
        <f xml:space="preserve"> Inputs!U$63</f>
        <v>0</v>
      </c>
      <c r="V120" s="43">
        <f xml:space="preserve"> Inputs!V$63</f>
        <v>0</v>
      </c>
      <c r="W120" s="43">
        <f xml:space="preserve"> Inputs!W$63</f>
        <v>0</v>
      </c>
    </row>
    <row r="121" spans="1:23" outlineLevel="1">
      <c r="B121" s="64"/>
      <c r="D121" s="159"/>
      <c r="E121" s="43" t="str">
        <f xml:space="preserve"> 'Indices and K factor'!E$11</f>
        <v>CPIH: Nov % increase (prior year) - CALC</v>
      </c>
      <c r="F121" s="43">
        <f xml:space="preserve"> 'Indices and K factor'!F$11</f>
        <v>0</v>
      </c>
      <c r="G121" s="43" t="str">
        <f xml:space="preserve"> 'Indices and K factor'!G$11</f>
        <v>%</v>
      </c>
      <c r="H121" s="43">
        <f xml:space="preserve"> 'Indices and K factor'!H$11</f>
        <v>0</v>
      </c>
      <c r="I121" s="43">
        <f xml:space="preserve"> 'Indices and K factor'!I$11</f>
        <v>0</v>
      </c>
      <c r="J121" s="43">
        <f xml:space="preserve"> 'Indices and K factor'!J$11</f>
        <v>0</v>
      </c>
      <c r="K121" s="43">
        <f xml:space="preserve"> 'Indices and K factor'!K$11</f>
        <v>0</v>
      </c>
      <c r="L121" s="43">
        <f xml:space="preserve"> 'Indices and K factor'!L$11</f>
        <v>1.0040040040040039</v>
      </c>
      <c r="M121" s="43">
        <f xml:space="preserve"> 'Indices and K factor'!M$11</f>
        <v>1.0149551345962113</v>
      </c>
      <c r="N121" s="43">
        <f xml:space="preserve"> 'Indices and K factor'!N$11</f>
        <v>1.0284872298624754</v>
      </c>
      <c r="O121" s="43">
        <f xml:space="preserve"> 'Indices and K factor'!O$11</f>
        <v>1.0210124164278893</v>
      </c>
      <c r="P121" s="43">
        <f xml:space="preserve"> 'Indices and K factor'!P$11</f>
        <v>1.0149672591206735</v>
      </c>
      <c r="Q121" s="43">
        <f xml:space="preserve"> 'Indices and K factor'!Q$11</f>
        <v>1.0055299539170506</v>
      </c>
      <c r="R121" s="43">
        <f xml:space="preserve"> 'Indices and K factor'!R$11</f>
        <v>1.0458295142071494</v>
      </c>
      <c r="S121" s="43">
        <f xml:space="preserve"> 'Indices and K factor'!S$11</f>
        <v>1.0937773882559159</v>
      </c>
      <c r="T121" s="43">
        <f xml:space="preserve"> 'Indices and K factor'!T$11</f>
        <v>1.042059294871795</v>
      </c>
      <c r="U121" s="43">
        <f xml:space="preserve"> 'Indices and K factor'!U$11</f>
        <v>1.0312779542070039</v>
      </c>
      <c r="V121" s="43">
        <f xml:space="preserve"> 'Indices and K factor'!V$11</f>
        <v>1.02</v>
      </c>
      <c r="W121" s="43">
        <f xml:space="preserve"> 'Indices and K factor'!W$11</f>
        <v>1.02</v>
      </c>
    </row>
    <row r="122" spans="1:23" outlineLevel="1">
      <c r="B122" s="64"/>
      <c r="D122" s="159"/>
      <c r="E122" s="206" t="str">
        <f t="shared" ref="E122:W122" si="45" xml:space="preserve"> E$86</f>
        <v>Penalty adjustment - WW-N+</v>
      </c>
      <c r="F122" s="206">
        <f t="shared" si="45"/>
        <v>0</v>
      </c>
      <c r="G122" s="206" t="str">
        <f t="shared" si="45"/>
        <v>£m</v>
      </c>
      <c r="H122" s="206">
        <f t="shared" si="45"/>
        <v>-32.265636288338726</v>
      </c>
      <c r="I122" s="206">
        <f t="shared" si="45"/>
        <v>0</v>
      </c>
      <c r="J122" s="206">
        <f t="shared" si="45"/>
        <v>0</v>
      </c>
      <c r="K122" s="206">
        <f t="shared" si="45"/>
        <v>0</v>
      </c>
      <c r="L122" s="206">
        <f t="shared" si="45"/>
        <v>0</v>
      </c>
      <c r="M122" s="206">
        <f t="shared" si="45"/>
        <v>0</v>
      </c>
      <c r="N122" s="206">
        <f t="shared" si="45"/>
        <v>0</v>
      </c>
      <c r="O122" s="206">
        <f t="shared" si="45"/>
        <v>0</v>
      </c>
      <c r="P122" s="206">
        <f t="shared" si="45"/>
        <v>-0.99122927440796493</v>
      </c>
      <c r="Q122" s="206">
        <f t="shared" si="45"/>
        <v>-0.42603021661670643</v>
      </c>
      <c r="R122" s="206">
        <f t="shared" si="45"/>
        <v>-0.26241374717582078</v>
      </c>
      <c r="S122" s="206">
        <f t="shared" si="45"/>
        <v>0</v>
      </c>
      <c r="T122" s="206">
        <f t="shared" si="45"/>
        <v>-30.585963050138233</v>
      </c>
      <c r="U122" s="206">
        <f t="shared" si="45"/>
        <v>0</v>
      </c>
      <c r="V122" s="206">
        <f t="shared" si="45"/>
        <v>0</v>
      </c>
      <c r="W122" s="206">
        <f t="shared" si="45"/>
        <v>0</v>
      </c>
    </row>
    <row r="123" spans="1:23" outlineLevel="1">
      <c r="B123" s="64"/>
      <c r="D123" s="159"/>
      <c r="E123" s="98" t="str">
        <f xml:space="preserve"> Time!E$51</f>
        <v>Forecast end period flag</v>
      </c>
      <c r="F123" s="98">
        <f xml:space="preserve"> Time!F$51</f>
        <v>0</v>
      </c>
      <c r="G123" s="98" t="str">
        <f xml:space="preserve"> Time!G$51</f>
        <v>flag</v>
      </c>
      <c r="H123" s="98">
        <f xml:space="preserve"> Time!H$51</f>
        <v>1</v>
      </c>
      <c r="I123" s="98">
        <f xml:space="preserve"> Time!I$51</f>
        <v>0</v>
      </c>
      <c r="J123" s="98">
        <f xml:space="preserve"> Time!J$51</f>
        <v>0</v>
      </c>
      <c r="K123" s="98">
        <f xml:space="preserve"> Time!K$51</f>
        <v>0</v>
      </c>
      <c r="L123" s="98">
        <f xml:space="preserve"> Time!L$51</f>
        <v>0</v>
      </c>
      <c r="M123" s="98">
        <f xml:space="preserve"> Time!M$51</f>
        <v>0</v>
      </c>
      <c r="N123" s="98">
        <f xml:space="preserve"> Time!N$51</f>
        <v>0</v>
      </c>
      <c r="O123" s="98">
        <f xml:space="preserve"> Time!O$51</f>
        <v>0</v>
      </c>
      <c r="P123" s="98">
        <f xml:space="preserve"> Time!P$51</f>
        <v>0</v>
      </c>
      <c r="Q123" s="98">
        <f xml:space="preserve"> Time!Q$51</f>
        <v>0</v>
      </c>
      <c r="R123" s="98">
        <f xml:space="preserve"> Time!R$51</f>
        <v>0</v>
      </c>
      <c r="S123" s="98">
        <f xml:space="preserve"> Time!S$51</f>
        <v>0</v>
      </c>
      <c r="T123" s="98">
        <f xml:space="preserve"> Time!T$51</f>
        <v>1</v>
      </c>
      <c r="U123" s="98">
        <f xml:space="preserve"> Time!U$51</f>
        <v>0</v>
      </c>
      <c r="V123" s="98">
        <f xml:space="preserve"> Time!V$51</f>
        <v>0</v>
      </c>
      <c r="W123" s="98">
        <f xml:space="preserve"> Time!W$51</f>
        <v>0</v>
      </c>
    </row>
    <row r="124" spans="1:23" outlineLevel="1">
      <c r="B124" s="64"/>
      <c r="D124" s="159"/>
      <c r="E124" s="129" t="s">
        <v>400</v>
      </c>
      <c r="F124" s="101"/>
      <c r="G124" s="101" t="s">
        <v>97</v>
      </c>
      <c r="H124" s="93">
        <f xml:space="preserve"> SUM(J124:W124)</f>
        <v>0</v>
      </c>
      <c r="J124" s="193">
        <f xml:space="preserve"> J123 * ( I122 * J121 * (1 + $F120) )</f>
        <v>0</v>
      </c>
      <c r="K124" s="193">
        <f t="shared" ref="K124:W124" si="46" xml:space="preserve"> K123 * ( J122 * K121 * (1 + $F120) )</f>
        <v>0</v>
      </c>
      <c r="L124" s="193">
        <f t="shared" si="46"/>
        <v>0</v>
      </c>
      <c r="M124" s="193">
        <f t="shared" si="46"/>
        <v>0</v>
      </c>
      <c r="N124" s="193">
        <f t="shared" si="46"/>
        <v>0</v>
      </c>
      <c r="O124" s="193">
        <f t="shared" si="46"/>
        <v>0</v>
      </c>
      <c r="P124" s="193">
        <f t="shared" si="46"/>
        <v>0</v>
      </c>
      <c r="Q124" s="193">
        <f t="shared" si="46"/>
        <v>0</v>
      </c>
      <c r="R124" s="193">
        <f t="shared" si="46"/>
        <v>0</v>
      </c>
      <c r="S124" s="193">
        <f t="shared" si="46"/>
        <v>0</v>
      </c>
      <c r="T124" s="193">
        <f t="shared" si="46"/>
        <v>0</v>
      </c>
      <c r="U124" s="193">
        <f t="shared" si="46"/>
        <v>0</v>
      </c>
      <c r="V124" s="193">
        <f t="shared" si="46"/>
        <v>0</v>
      </c>
      <c r="W124" s="193">
        <f t="shared" si="46"/>
        <v>0</v>
      </c>
    </row>
    <row r="125" spans="1:23" outlineLevel="1">
      <c r="B125" s="64"/>
      <c r="D125" s="159"/>
      <c r="E125" s="129"/>
      <c r="F125" s="101"/>
      <c r="G125" s="101"/>
      <c r="H125" s="101"/>
      <c r="J125" s="193"/>
      <c r="K125" s="193"/>
      <c r="L125" s="193"/>
      <c r="M125" s="193"/>
      <c r="N125" s="193"/>
      <c r="O125" s="193"/>
      <c r="P125" s="193"/>
      <c r="Q125" s="193"/>
      <c r="R125" s="193"/>
      <c r="S125" s="193"/>
      <c r="T125" s="193"/>
      <c r="U125" s="193"/>
      <c r="V125" s="193"/>
      <c r="W125" s="193"/>
    </row>
    <row r="126" spans="1:23" outlineLevel="1">
      <c r="B126" s="64"/>
      <c r="D126" s="159"/>
      <c r="E126" s="101" t="str">
        <f t="shared" ref="E126:W126" si="47" xml:space="preserve"> E$118</f>
        <v>Value of year 4 main revenue adjustment at the end of AMP7 - WW-N+</v>
      </c>
      <c r="F126" s="101">
        <f t="shared" si="47"/>
        <v>0</v>
      </c>
      <c r="G126" s="101" t="str">
        <f t="shared" si="47"/>
        <v>£m</v>
      </c>
      <c r="H126" s="93">
        <f t="shared" si="47"/>
        <v>16.029511591128667</v>
      </c>
      <c r="I126" s="101">
        <f t="shared" si="47"/>
        <v>0</v>
      </c>
      <c r="J126" s="325">
        <f t="shared" si="47"/>
        <v>0</v>
      </c>
      <c r="K126" s="325">
        <f t="shared" si="47"/>
        <v>0</v>
      </c>
      <c r="L126" s="325">
        <f t="shared" si="47"/>
        <v>0</v>
      </c>
      <c r="M126" s="325">
        <f t="shared" si="47"/>
        <v>0</v>
      </c>
      <c r="N126" s="325">
        <f t="shared" si="47"/>
        <v>0</v>
      </c>
      <c r="O126" s="325">
        <f t="shared" si="47"/>
        <v>0</v>
      </c>
      <c r="P126" s="325">
        <f t="shared" si="47"/>
        <v>0</v>
      </c>
      <c r="Q126" s="325">
        <f t="shared" si="47"/>
        <v>0</v>
      </c>
      <c r="R126" s="325">
        <f t="shared" si="47"/>
        <v>0</v>
      </c>
      <c r="S126" s="325">
        <f t="shared" si="47"/>
        <v>0</v>
      </c>
      <c r="T126" s="325">
        <f t="shared" si="47"/>
        <v>16.029511591128667</v>
      </c>
      <c r="U126" s="325">
        <f t="shared" si="47"/>
        <v>0</v>
      </c>
      <c r="V126" s="325">
        <f t="shared" si="47"/>
        <v>0</v>
      </c>
      <c r="W126" s="325">
        <f t="shared" si="47"/>
        <v>0</v>
      </c>
    </row>
    <row r="127" spans="1:23" outlineLevel="1">
      <c r="B127" s="64"/>
      <c r="D127" s="159"/>
      <c r="E127" s="101" t="str">
        <f t="shared" ref="E127:W127" si="48" xml:space="preserve"> E$124</f>
        <v>Value of year 4 penalty adjustment at the end of AMP7 - WW-N+</v>
      </c>
      <c r="F127" s="101">
        <f t="shared" si="48"/>
        <v>0</v>
      </c>
      <c r="G127" s="101" t="str">
        <f t="shared" si="48"/>
        <v>£m</v>
      </c>
      <c r="H127" s="93">
        <f t="shared" si="48"/>
        <v>0</v>
      </c>
      <c r="I127" s="101">
        <f t="shared" si="48"/>
        <v>0</v>
      </c>
      <c r="J127" s="193">
        <f t="shared" si="48"/>
        <v>0</v>
      </c>
      <c r="K127" s="193">
        <f t="shared" si="48"/>
        <v>0</v>
      </c>
      <c r="L127" s="193">
        <f t="shared" si="48"/>
        <v>0</v>
      </c>
      <c r="M127" s="193">
        <f t="shared" si="48"/>
        <v>0</v>
      </c>
      <c r="N127" s="193">
        <f t="shared" si="48"/>
        <v>0</v>
      </c>
      <c r="O127" s="193">
        <f t="shared" si="48"/>
        <v>0</v>
      </c>
      <c r="P127" s="193">
        <f t="shared" si="48"/>
        <v>0</v>
      </c>
      <c r="Q127" s="193">
        <f t="shared" si="48"/>
        <v>0</v>
      </c>
      <c r="R127" s="193">
        <f t="shared" si="48"/>
        <v>0</v>
      </c>
      <c r="S127" s="193">
        <f t="shared" si="48"/>
        <v>0</v>
      </c>
      <c r="T127" s="193">
        <f t="shared" si="48"/>
        <v>0</v>
      </c>
      <c r="U127" s="193">
        <f t="shared" si="48"/>
        <v>0</v>
      </c>
      <c r="V127" s="193">
        <f t="shared" si="48"/>
        <v>0</v>
      </c>
      <c r="W127" s="193">
        <f t="shared" si="48"/>
        <v>0</v>
      </c>
    </row>
    <row r="128" spans="1:23" ht="13.8" outlineLevel="1" thickBot="1">
      <c r="B128" s="64"/>
      <c r="D128" s="159"/>
      <c r="E128" s="287" t="s">
        <v>401</v>
      </c>
      <c r="F128" s="287"/>
      <c r="G128" s="287" t="s">
        <v>97</v>
      </c>
      <c r="H128" s="287">
        <f xml:space="preserve"> SUM(J128:W128)</f>
        <v>16.029511591128667</v>
      </c>
      <c r="I128" s="287"/>
      <c r="J128" s="287">
        <f xml:space="preserve"> J126 + J127</f>
        <v>0</v>
      </c>
      <c r="K128" s="287">
        <f t="shared" ref="K128:W128" si="49" xml:space="preserve"> K126 + K127</f>
        <v>0</v>
      </c>
      <c r="L128" s="287">
        <f t="shared" si="49"/>
        <v>0</v>
      </c>
      <c r="M128" s="287">
        <f t="shared" si="49"/>
        <v>0</v>
      </c>
      <c r="N128" s="287">
        <f t="shared" si="49"/>
        <v>0</v>
      </c>
      <c r="O128" s="287">
        <f t="shared" si="49"/>
        <v>0</v>
      </c>
      <c r="P128" s="287">
        <f t="shared" si="49"/>
        <v>0</v>
      </c>
      <c r="Q128" s="287">
        <f t="shared" si="49"/>
        <v>0</v>
      </c>
      <c r="R128" s="287">
        <f t="shared" si="49"/>
        <v>0</v>
      </c>
      <c r="S128" s="287">
        <f t="shared" si="49"/>
        <v>0</v>
      </c>
      <c r="T128" s="287">
        <f t="shared" si="49"/>
        <v>16.029511591128667</v>
      </c>
      <c r="U128" s="287">
        <f t="shared" si="49"/>
        <v>0</v>
      </c>
      <c r="V128" s="287">
        <f t="shared" si="49"/>
        <v>0</v>
      </c>
      <c r="W128" s="287">
        <f t="shared" si="49"/>
        <v>0</v>
      </c>
    </row>
    <row r="129" spans="1:23" ht="13.8" outlineLevel="1" thickTop="1">
      <c r="B129" s="64"/>
      <c r="D129" s="159"/>
      <c r="E129" s="153"/>
      <c r="F129" s="58"/>
      <c r="G129" s="58"/>
      <c r="H129" s="95"/>
      <c r="I129" s="58"/>
      <c r="J129" s="95"/>
      <c r="K129" s="95"/>
      <c r="L129" s="95"/>
      <c r="M129" s="95"/>
      <c r="N129" s="95"/>
      <c r="O129" s="95"/>
      <c r="P129" s="95"/>
      <c r="Q129" s="95"/>
      <c r="R129" s="95"/>
      <c r="S129" s="95"/>
      <c r="T129" s="95"/>
      <c r="U129" s="95"/>
      <c r="V129" s="6"/>
      <c r="W129" s="6"/>
    </row>
    <row r="130" spans="1:23" outlineLevel="1">
      <c r="B130" s="64" t="s">
        <v>402</v>
      </c>
      <c r="D130" s="159"/>
      <c r="E130" s="129"/>
      <c r="F130" s="101"/>
      <c r="G130" s="101"/>
      <c r="H130" s="101"/>
      <c r="J130" s="101"/>
      <c r="K130" s="101"/>
      <c r="L130" s="101"/>
      <c r="M130" s="101"/>
      <c r="N130" s="101"/>
      <c r="O130" s="101"/>
      <c r="P130" s="101"/>
      <c r="Q130" s="101"/>
      <c r="R130" s="101"/>
      <c r="S130" s="101"/>
      <c r="T130" s="101"/>
      <c r="U130" s="101"/>
      <c r="V130" s="6"/>
      <c r="W130" s="6"/>
    </row>
    <row r="131" spans="1:23" outlineLevel="1">
      <c r="B131" s="64"/>
      <c r="D131" s="159"/>
      <c r="E131" s="129"/>
      <c r="F131" s="101"/>
      <c r="G131" s="101"/>
      <c r="H131" s="101"/>
      <c r="J131" s="101"/>
      <c r="K131" s="101"/>
      <c r="L131" s="101"/>
      <c r="M131" s="101"/>
      <c r="N131" s="101"/>
      <c r="O131" s="101"/>
      <c r="P131" s="101"/>
      <c r="Q131" s="101"/>
      <c r="R131" s="101"/>
      <c r="S131" s="101"/>
      <c r="T131" s="101"/>
      <c r="U131" s="101"/>
      <c r="V131" s="6"/>
      <c r="W131" s="6"/>
    </row>
    <row r="132" spans="1:23" outlineLevel="1">
      <c r="B132" s="64"/>
      <c r="D132" s="159"/>
      <c r="E132" s="296" t="str">
        <f xml:space="preserve"> E$44</f>
        <v xml:space="preserve">Revenue Imbalance  - WW-N+ </v>
      </c>
      <c r="F132" s="296">
        <f t="shared" ref="F132:W132" si="50" xml:space="preserve"> F$44</f>
        <v>0</v>
      </c>
      <c r="G132" s="296" t="str">
        <f t="shared" si="50"/>
        <v>£m</v>
      </c>
      <c r="H132" s="296">
        <f t="shared" si="50"/>
        <v>1111.520126764334</v>
      </c>
      <c r="I132" s="296">
        <f t="shared" si="50"/>
        <v>0</v>
      </c>
      <c r="J132" s="296">
        <f t="shared" si="50"/>
        <v>0</v>
      </c>
      <c r="K132" s="296">
        <f t="shared" si="50"/>
        <v>0</v>
      </c>
      <c r="L132" s="296">
        <f t="shared" si="50"/>
        <v>0</v>
      </c>
      <c r="M132" s="296">
        <f t="shared" si="50"/>
        <v>0</v>
      </c>
      <c r="N132" s="296">
        <f t="shared" si="50"/>
        <v>0</v>
      </c>
      <c r="O132" s="296">
        <f t="shared" si="50"/>
        <v>0</v>
      </c>
      <c r="P132" s="296">
        <f t="shared" si="50"/>
        <v>33.040975813598834</v>
      </c>
      <c r="Q132" s="296">
        <f t="shared" si="50"/>
        <v>22.528151835666677</v>
      </c>
      <c r="R132" s="296">
        <f t="shared" si="50"/>
        <v>21.472790665929551</v>
      </c>
      <c r="S132" s="296">
        <f t="shared" si="50"/>
        <v>14.946106777864543</v>
      </c>
      <c r="T132" s="296">
        <f t="shared" si="50"/>
        <v>1019.5321016712744</v>
      </c>
      <c r="U132" s="296">
        <f t="shared" si="50"/>
        <v>0</v>
      </c>
      <c r="V132" s="296">
        <f t="shared" si="50"/>
        <v>0</v>
      </c>
      <c r="W132" s="296">
        <f t="shared" si="50"/>
        <v>0</v>
      </c>
    </row>
    <row r="133" spans="1:23" outlineLevel="1">
      <c r="B133" s="64"/>
      <c r="D133" s="159"/>
      <c r="E133" s="206" t="str">
        <f t="shared" ref="E133:T133" si="51" xml:space="preserve"> E$86</f>
        <v>Penalty adjustment - WW-N+</v>
      </c>
      <c r="F133" s="206">
        <f t="shared" si="51"/>
        <v>0</v>
      </c>
      <c r="G133" s="206" t="str">
        <f t="shared" si="51"/>
        <v>£m</v>
      </c>
      <c r="H133" s="206">
        <f t="shared" si="51"/>
        <v>-32.265636288338726</v>
      </c>
      <c r="I133" s="206">
        <f t="shared" si="51"/>
        <v>0</v>
      </c>
      <c r="J133" s="206">
        <f t="shared" si="51"/>
        <v>0</v>
      </c>
      <c r="K133" s="206">
        <f t="shared" si="51"/>
        <v>0</v>
      </c>
      <c r="L133" s="206">
        <f t="shared" si="51"/>
        <v>0</v>
      </c>
      <c r="M133" s="206">
        <f t="shared" si="51"/>
        <v>0</v>
      </c>
      <c r="N133" s="206">
        <f t="shared" si="51"/>
        <v>0</v>
      </c>
      <c r="O133" s="206">
        <f t="shared" si="51"/>
        <v>0</v>
      </c>
      <c r="P133" s="206">
        <f t="shared" si="51"/>
        <v>-0.99122927440796493</v>
      </c>
      <c r="Q133" s="206">
        <f t="shared" si="51"/>
        <v>-0.42603021661670643</v>
      </c>
      <c r="R133" s="206">
        <f t="shared" si="51"/>
        <v>-0.26241374717582078</v>
      </c>
      <c r="S133" s="206">
        <f t="shared" si="51"/>
        <v>0</v>
      </c>
      <c r="T133" s="206">
        <f t="shared" si="51"/>
        <v>-30.585963050138233</v>
      </c>
      <c r="U133" s="206">
        <f xml:space="preserve"> U$86</f>
        <v>0</v>
      </c>
      <c r="V133" s="206">
        <f xml:space="preserve"> V$86</f>
        <v>0</v>
      </c>
      <c r="W133" s="206">
        <f xml:space="preserve"> W$86</f>
        <v>0</v>
      </c>
    </row>
    <row r="134" spans="1:23" s="129" customFormat="1" outlineLevel="1">
      <c r="A134" s="166"/>
      <c r="B134" s="166"/>
      <c r="C134" s="167"/>
      <c r="D134" s="75"/>
      <c r="E134" s="98" t="str">
        <f xml:space="preserve"> Time!E$51</f>
        <v>Forecast end period flag</v>
      </c>
      <c r="F134" s="98">
        <f xml:space="preserve"> Time!F$51</f>
        <v>0</v>
      </c>
      <c r="G134" s="98" t="str">
        <f xml:space="preserve"> Time!G$51</f>
        <v>flag</v>
      </c>
      <c r="H134" s="98">
        <f xml:space="preserve"> Time!H$51</f>
        <v>1</v>
      </c>
      <c r="I134" s="98">
        <f xml:space="preserve"> Time!I$51</f>
        <v>0</v>
      </c>
      <c r="J134" s="98">
        <f xml:space="preserve"> Time!J$51</f>
        <v>0</v>
      </c>
      <c r="K134" s="98">
        <f xml:space="preserve"> Time!K$51</f>
        <v>0</v>
      </c>
      <c r="L134" s="98">
        <f xml:space="preserve"> Time!L$51</f>
        <v>0</v>
      </c>
      <c r="M134" s="98">
        <f xml:space="preserve"> Time!M$51</f>
        <v>0</v>
      </c>
      <c r="N134" s="98">
        <f xml:space="preserve"> Time!N$51</f>
        <v>0</v>
      </c>
      <c r="O134" s="98">
        <f xml:space="preserve"> Time!O$51</f>
        <v>0</v>
      </c>
      <c r="P134" s="98">
        <f xml:space="preserve"> Time!P$51</f>
        <v>0</v>
      </c>
      <c r="Q134" s="98">
        <f xml:space="preserve"> Time!Q$51</f>
        <v>0</v>
      </c>
      <c r="R134" s="98">
        <f xml:space="preserve"> Time!R$51</f>
        <v>0</v>
      </c>
      <c r="S134" s="98">
        <f xml:space="preserve"> Time!S$51</f>
        <v>0</v>
      </c>
      <c r="T134" s="98">
        <f xml:space="preserve"> Time!T$51</f>
        <v>1</v>
      </c>
      <c r="U134" s="98">
        <f xml:space="preserve"> Time!U$51</f>
        <v>0</v>
      </c>
      <c r="V134" s="98">
        <f xml:space="preserve"> Time!V$51</f>
        <v>0</v>
      </c>
      <c r="W134" s="98">
        <f xml:space="preserve"> Time!W$51</f>
        <v>0</v>
      </c>
    </row>
    <row r="135" spans="1:23" ht="13.8" outlineLevel="1" thickBot="1">
      <c r="B135" s="64"/>
      <c r="D135" s="159"/>
      <c r="E135" s="287" t="s">
        <v>403</v>
      </c>
      <c r="F135" s="287"/>
      <c r="G135" s="287" t="s">
        <v>97</v>
      </c>
      <c r="H135" s="287">
        <f xml:space="preserve"> SUM(J135:W135)</f>
        <v>988.94613862113613</v>
      </c>
      <c r="I135" s="287"/>
      <c r="J135" s="287">
        <f xml:space="preserve"> ( J132 + J133 ) * J134</f>
        <v>0</v>
      </c>
      <c r="K135" s="287">
        <f t="shared" ref="K135:W135" si="52" xml:space="preserve"> ( K132 + K133 ) * K134</f>
        <v>0</v>
      </c>
      <c r="L135" s="287">
        <f t="shared" si="52"/>
        <v>0</v>
      </c>
      <c r="M135" s="287">
        <f t="shared" si="52"/>
        <v>0</v>
      </c>
      <c r="N135" s="287">
        <f t="shared" si="52"/>
        <v>0</v>
      </c>
      <c r="O135" s="287">
        <f t="shared" si="52"/>
        <v>0</v>
      </c>
      <c r="P135" s="287">
        <f t="shared" si="52"/>
        <v>0</v>
      </c>
      <c r="Q135" s="287">
        <f t="shared" si="52"/>
        <v>0</v>
      </c>
      <c r="R135" s="287">
        <f t="shared" si="52"/>
        <v>0</v>
      </c>
      <c r="S135" s="287">
        <f t="shared" si="52"/>
        <v>0</v>
      </c>
      <c r="T135" s="287">
        <f t="shared" si="52"/>
        <v>988.94613862113613</v>
      </c>
      <c r="U135" s="287">
        <f t="shared" si="52"/>
        <v>0</v>
      </c>
      <c r="V135" s="287">
        <f t="shared" si="52"/>
        <v>0</v>
      </c>
      <c r="W135" s="287">
        <f t="shared" si="52"/>
        <v>0</v>
      </c>
    </row>
    <row r="136" spans="1:23" ht="13.8" outlineLevel="1" thickTop="1">
      <c r="B136" s="64"/>
      <c r="D136" s="159"/>
      <c r="E136" s="153"/>
      <c r="F136" s="58"/>
      <c r="G136" s="58"/>
      <c r="H136" s="95"/>
      <c r="I136" s="58"/>
      <c r="J136" s="95"/>
      <c r="K136" s="95"/>
      <c r="L136" s="95"/>
      <c r="M136" s="95"/>
      <c r="N136" s="95"/>
      <c r="O136" s="95"/>
      <c r="P136" s="95"/>
      <c r="Q136" s="95"/>
      <c r="R136" s="95"/>
      <c r="S136" s="95"/>
      <c r="T136" s="95"/>
      <c r="U136" s="95"/>
      <c r="V136" s="95"/>
      <c r="W136" s="95"/>
    </row>
    <row r="137" spans="1:23" outlineLevel="1">
      <c r="B137" s="64" t="s">
        <v>375</v>
      </c>
      <c r="D137" s="159"/>
      <c r="E137" s="129"/>
      <c r="F137" s="101"/>
      <c r="G137" s="101"/>
      <c r="H137" s="101"/>
      <c r="J137" s="101"/>
      <c r="K137" s="101"/>
      <c r="L137" s="101"/>
      <c r="M137" s="101"/>
      <c r="N137" s="101"/>
      <c r="O137" s="101"/>
      <c r="P137" s="101"/>
      <c r="Q137" s="101"/>
      <c r="R137" s="101"/>
      <c r="S137" s="101"/>
      <c r="T137" s="101"/>
      <c r="U137" s="101"/>
      <c r="V137" s="101"/>
      <c r="W137" s="101"/>
    </row>
    <row r="138" spans="1:23" outlineLevel="1">
      <c r="B138" s="64"/>
      <c r="D138" s="159"/>
      <c r="E138" s="129"/>
      <c r="F138" s="101"/>
      <c r="G138" s="101"/>
      <c r="H138" s="101"/>
      <c r="J138" s="101"/>
      <c r="K138" s="101"/>
      <c r="L138" s="101"/>
      <c r="M138" s="101"/>
      <c r="N138" s="101"/>
      <c r="O138" s="101"/>
      <c r="P138" s="101"/>
      <c r="Q138" s="101"/>
      <c r="R138" s="101"/>
      <c r="S138" s="101"/>
      <c r="T138" s="101"/>
      <c r="U138" s="101"/>
      <c r="V138" s="101"/>
      <c r="W138" s="101"/>
    </row>
    <row r="139" spans="1:23" outlineLevel="1">
      <c r="B139" s="64"/>
      <c r="D139" s="159"/>
      <c r="E139" s="93" t="str">
        <f t="shared" ref="E139:T139" si="53" xml:space="preserve"> E$128</f>
        <v>Value of year 4 RFI adjustments at the end of AMP7 - WW-N+</v>
      </c>
      <c r="F139" s="93">
        <f t="shared" si="53"/>
        <v>0</v>
      </c>
      <c r="G139" s="93" t="str">
        <f t="shared" si="53"/>
        <v>£m</v>
      </c>
      <c r="H139" s="93">
        <f t="shared" si="53"/>
        <v>16.029511591128667</v>
      </c>
      <c r="I139" s="93">
        <f t="shared" si="53"/>
        <v>0</v>
      </c>
      <c r="J139" s="93">
        <f t="shared" si="53"/>
        <v>0</v>
      </c>
      <c r="K139" s="93">
        <f t="shared" si="53"/>
        <v>0</v>
      </c>
      <c r="L139" s="93">
        <f t="shared" si="53"/>
        <v>0</v>
      </c>
      <c r="M139" s="93">
        <f t="shared" si="53"/>
        <v>0</v>
      </c>
      <c r="N139" s="93">
        <f t="shared" si="53"/>
        <v>0</v>
      </c>
      <c r="O139" s="93">
        <f t="shared" si="53"/>
        <v>0</v>
      </c>
      <c r="P139" s="93">
        <f t="shared" si="53"/>
        <v>0</v>
      </c>
      <c r="Q139" s="93">
        <f t="shared" si="53"/>
        <v>0</v>
      </c>
      <c r="R139" s="93">
        <f t="shared" si="53"/>
        <v>0</v>
      </c>
      <c r="S139" s="93">
        <f t="shared" si="53"/>
        <v>0</v>
      </c>
      <c r="T139" s="93">
        <f t="shared" si="53"/>
        <v>16.029511591128667</v>
      </c>
      <c r="U139" s="93">
        <f xml:space="preserve"> U$128</f>
        <v>0</v>
      </c>
      <c r="V139" s="93">
        <f xml:space="preserve"> V$128</f>
        <v>0</v>
      </c>
      <c r="W139" s="93">
        <f xml:space="preserve"> W$128</f>
        <v>0</v>
      </c>
    </row>
    <row r="140" spans="1:23" outlineLevel="1">
      <c r="B140" s="64"/>
      <c r="D140" s="159"/>
      <c r="E140" s="93" t="str">
        <f t="shared" ref="E140:T140" si="54" xml:space="preserve"> E$135</f>
        <v>Value of year 5 RFI adjustments at the end of AMP7 - WW-N+</v>
      </c>
      <c r="F140" s="93">
        <f t="shared" si="54"/>
        <v>0</v>
      </c>
      <c r="G140" s="93" t="str">
        <f t="shared" si="54"/>
        <v>£m</v>
      </c>
      <c r="H140" s="93">
        <f t="shared" si="54"/>
        <v>988.94613862113613</v>
      </c>
      <c r="I140" s="93">
        <f t="shared" si="54"/>
        <v>0</v>
      </c>
      <c r="J140" s="93">
        <f t="shared" si="54"/>
        <v>0</v>
      </c>
      <c r="K140" s="93">
        <f t="shared" si="54"/>
        <v>0</v>
      </c>
      <c r="L140" s="93">
        <f t="shared" si="54"/>
        <v>0</v>
      </c>
      <c r="M140" s="93">
        <f t="shared" si="54"/>
        <v>0</v>
      </c>
      <c r="N140" s="93">
        <f t="shared" si="54"/>
        <v>0</v>
      </c>
      <c r="O140" s="93">
        <f t="shared" si="54"/>
        <v>0</v>
      </c>
      <c r="P140" s="93">
        <f t="shared" si="54"/>
        <v>0</v>
      </c>
      <c r="Q140" s="93">
        <f t="shared" si="54"/>
        <v>0</v>
      </c>
      <c r="R140" s="93">
        <f t="shared" si="54"/>
        <v>0</v>
      </c>
      <c r="S140" s="93">
        <f t="shared" si="54"/>
        <v>0</v>
      </c>
      <c r="T140" s="93">
        <f t="shared" si="54"/>
        <v>988.94613862113613</v>
      </c>
      <c r="U140" s="93">
        <f xml:space="preserve"> U$135</f>
        <v>0</v>
      </c>
      <c r="V140" s="93">
        <f xml:space="preserve"> V$135</f>
        <v>0</v>
      </c>
      <c r="W140" s="93">
        <f xml:space="preserve"> W$135</f>
        <v>0</v>
      </c>
    </row>
    <row r="141" spans="1:23" s="301" customFormat="1" ht="13.8" outlineLevel="1" thickBot="1">
      <c r="A141" s="297"/>
      <c r="B141" s="297"/>
      <c r="C141" s="298"/>
      <c r="D141" s="299"/>
      <c r="E141" s="300" t="s">
        <v>404</v>
      </c>
      <c r="F141" s="300"/>
      <c r="G141" s="300" t="s">
        <v>97</v>
      </c>
      <c r="H141" s="300">
        <f xml:space="preserve"> SUM(J141:W141)</f>
        <v>1004.9756502122648</v>
      </c>
      <c r="I141" s="300"/>
      <c r="J141" s="300">
        <f xml:space="preserve"> J139 + J140</f>
        <v>0</v>
      </c>
      <c r="K141" s="300">
        <f t="shared" ref="K141:W141" si="55" xml:space="preserve"> K139 + K140</f>
        <v>0</v>
      </c>
      <c r="L141" s="300">
        <f t="shared" si="55"/>
        <v>0</v>
      </c>
      <c r="M141" s="300">
        <f t="shared" si="55"/>
        <v>0</v>
      </c>
      <c r="N141" s="300">
        <f t="shared" si="55"/>
        <v>0</v>
      </c>
      <c r="O141" s="300">
        <f t="shared" si="55"/>
        <v>0</v>
      </c>
      <c r="P141" s="300">
        <f t="shared" si="55"/>
        <v>0</v>
      </c>
      <c r="Q141" s="300">
        <f t="shared" si="55"/>
        <v>0</v>
      </c>
      <c r="R141" s="300">
        <f t="shared" si="55"/>
        <v>0</v>
      </c>
      <c r="S141" s="300">
        <f t="shared" si="55"/>
        <v>0</v>
      </c>
      <c r="T141" s="300">
        <f t="shared" si="55"/>
        <v>1004.9756502122648</v>
      </c>
      <c r="U141" s="300">
        <f t="shared" si="55"/>
        <v>0</v>
      </c>
      <c r="V141" s="300">
        <f t="shared" si="55"/>
        <v>0</v>
      </c>
      <c r="W141" s="300">
        <f t="shared" si="55"/>
        <v>0</v>
      </c>
    </row>
    <row r="142" spans="1:23" ht="13.8" outlineLevel="1" thickTop="1">
      <c r="A142" s="63"/>
      <c r="C142" s="110"/>
      <c r="E142" s="74"/>
    </row>
    <row r="143" spans="1:23" outlineLevel="1">
      <c r="A143" s="118" t="s">
        <v>232</v>
      </c>
      <c r="B143" s="118"/>
      <c r="C143" s="119"/>
      <c r="D143" s="120"/>
      <c r="E143" s="119"/>
      <c r="F143" s="121"/>
      <c r="G143" s="118"/>
      <c r="H143" s="118"/>
      <c r="I143" s="118"/>
      <c r="J143" s="118"/>
      <c r="K143" s="118"/>
      <c r="L143" s="118"/>
      <c r="M143" s="118"/>
      <c r="N143" s="118"/>
      <c r="O143" s="118"/>
      <c r="P143" s="118"/>
      <c r="Q143" s="118"/>
      <c r="R143" s="118"/>
      <c r="S143" s="118"/>
      <c r="T143" s="118"/>
      <c r="U143" s="118"/>
      <c r="V143" s="118"/>
      <c r="W143" s="118"/>
    </row>
    <row r="144" spans="1:23" s="84" customFormat="1"/>
    <row r="148" spans="1:23" ht="13.35" hidden="1" customHeight="1"/>
    <row r="149" spans="1:23" ht="13.35" hidden="1" customHeight="1"/>
    <row r="150" spans="1:23" ht="13.35" hidden="1" customHeight="1"/>
    <row r="151" spans="1:23" ht="13.35" hidden="1" customHeight="1"/>
    <row r="152" spans="1:23" ht="13.35" hidden="1" customHeight="1"/>
    <row r="153" spans="1:23" ht="13.35" hidden="1" customHeight="1"/>
    <row r="154" spans="1:23" ht="13.35" hidden="1" customHeight="1"/>
    <row r="155" spans="1:23" ht="13.35" hidden="1" customHeight="1"/>
    <row r="156" spans="1:23" ht="13.35" hidden="1" customHeight="1">
      <c r="A156" s="6"/>
      <c r="B156" s="6"/>
      <c r="C156" s="6"/>
      <c r="D156" s="6"/>
      <c r="E156" s="6"/>
      <c r="F156" s="6"/>
      <c r="G156" s="6"/>
      <c r="H156" s="6"/>
      <c r="I156" s="6"/>
      <c r="J156" s="6"/>
      <c r="K156" s="6"/>
      <c r="L156" s="6"/>
      <c r="M156" s="6"/>
      <c r="N156" s="6"/>
      <c r="O156" s="6"/>
      <c r="P156" s="6"/>
      <c r="Q156" s="6"/>
      <c r="R156" s="6"/>
      <c r="S156" s="6"/>
      <c r="T156" s="6"/>
      <c r="U156" s="6"/>
      <c r="V156" s="6"/>
      <c r="W156" s="6"/>
    </row>
    <row r="157" spans="1:23" ht="13.35" hidden="1" customHeight="1">
      <c r="A157" s="6"/>
      <c r="B157" s="6"/>
      <c r="C157" s="6"/>
      <c r="D157" s="6"/>
      <c r="E157" s="6"/>
      <c r="F157" s="6"/>
      <c r="G157" s="6"/>
      <c r="H157" s="6"/>
      <c r="I157" s="6"/>
      <c r="J157" s="6"/>
      <c r="K157" s="6"/>
      <c r="L157" s="6"/>
      <c r="M157" s="6"/>
      <c r="N157" s="6"/>
      <c r="O157" s="6"/>
      <c r="P157" s="6"/>
      <c r="Q157" s="6"/>
      <c r="R157" s="6"/>
      <c r="S157" s="6"/>
      <c r="T157" s="6"/>
      <c r="U157" s="6"/>
      <c r="V157" s="6"/>
      <c r="W157" s="6"/>
    </row>
    <row r="158" spans="1:23" ht="13.35" hidden="1" customHeight="1">
      <c r="A158" s="6"/>
      <c r="B158" s="6"/>
      <c r="C158" s="6"/>
      <c r="D158" s="6"/>
      <c r="E158" s="6"/>
      <c r="F158" s="6"/>
      <c r="G158" s="6"/>
      <c r="H158" s="6"/>
      <c r="I158" s="6"/>
      <c r="J158" s="6"/>
      <c r="K158" s="6"/>
      <c r="L158" s="6"/>
      <c r="M158" s="6"/>
      <c r="N158" s="6"/>
      <c r="O158" s="6"/>
      <c r="P158" s="6"/>
      <c r="Q158" s="6"/>
      <c r="R158" s="6"/>
      <c r="S158" s="6"/>
      <c r="T158" s="6"/>
      <c r="U158" s="6"/>
      <c r="V158" s="6"/>
      <c r="W158" s="6"/>
    </row>
    <row r="159" spans="1:23" ht="13.35" hidden="1" customHeight="1">
      <c r="A159" s="6"/>
      <c r="B159" s="6"/>
      <c r="C159" s="6"/>
      <c r="D159" s="6"/>
      <c r="E159" s="6"/>
      <c r="F159" s="6"/>
      <c r="G159" s="6"/>
      <c r="H159" s="6"/>
      <c r="I159" s="6"/>
      <c r="J159" s="6"/>
      <c r="K159" s="6"/>
      <c r="L159" s="6"/>
      <c r="M159" s="6"/>
      <c r="N159" s="6"/>
      <c r="O159" s="6"/>
      <c r="P159" s="6"/>
      <c r="Q159" s="6"/>
      <c r="R159" s="6"/>
      <c r="S159" s="6"/>
      <c r="T159" s="6"/>
      <c r="U159" s="6"/>
      <c r="V159" s="6"/>
      <c r="W159" s="6"/>
    </row>
    <row r="160" spans="1:23" ht="13.35" hidden="1" customHeight="1">
      <c r="A160" s="6"/>
      <c r="B160" s="6"/>
      <c r="C160" s="6"/>
      <c r="D160" s="6"/>
      <c r="E160" s="6"/>
      <c r="F160" s="6"/>
      <c r="G160" s="6"/>
      <c r="H160" s="6"/>
      <c r="I160" s="6"/>
      <c r="J160" s="6"/>
      <c r="K160" s="6"/>
      <c r="L160" s="6"/>
      <c r="M160" s="6"/>
      <c r="N160" s="6"/>
      <c r="O160" s="6"/>
      <c r="P160" s="6"/>
      <c r="Q160" s="6"/>
      <c r="R160" s="6"/>
      <c r="S160" s="6"/>
      <c r="T160" s="6"/>
      <c r="U160" s="6"/>
      <c r="V160" s="6"/>
      <c r="W160" s="6"/>
    </row>
    <row r="161" s="6" customFormat="1" ht="13.35" hidden="1" customHeight="1"/>
    <row r="162" s="6" customFormat="1" ht="13.35" hidden="1" customHeight="1"/>
    <row r="163" s="6" customFormat="1" ht="13.35" hidden="1" customHeight="1"/>
    <row r="164" s="6" customFormat="1" ht="13.35" hidden="1" customHeight="1"/>
    <row r="165" s="6" customFormat="1" ht="13.35" hidden="1" customHeight="1"/>
    <row r="166" s="6" customFormat="1" ht="13.35" hidden="1" customHeight="1"/>
    <row r="167" s="6" customFormat="1" ht="13.35" hidden="1" customHeight="1"/>
    <row r="168" s="6" customFormat="1" ht="13.35" hidden="1" customHeight="1"/>
    <row r="169" s="6" customFormat="1" ht="13.35" hidden="1" customHeight="1"/>
    <row r="170" s="6" customFormat="1" ht="13.35" hidden="1" customHeight="1"/>
    <row r="171" s="6" customFormat="1" ht="13.35" hidden="1" customHeight="1"/>
    <row r="172" s="6" customFormat="1" ht="13.35" hidden="1" customHeight="1"/>
    <row r="173" s="6" customFormat="1" ht="13.35" hidden="1" customHeight="1"/>
    <row r="174" s="6" customFormat="1" ht="13.35" hidden="1" customHeight="1"/>
    <row r="175" s="6" customFormat="1" ht="13.35" hidden="1" customHeight="1"/>
    <row r="176" s="6" customFormat="1" ht="13.35" hidden="1" customHeight="1"/>
    <row r="177" s="6" customFormat="1" ht="13.35" hidden="1" customHeight="1"/>
    <row r="178" s="6" customFormat="1" ht="13.35" hidden="1" customHeight="1"/>
    <row r="179" s="6" customFormat="1" ht="13.35" hidden="1" customHeight="1"/>
    <row r="180" s="6" customFormat="1" ht="13.35" hidden="1" customHeight="1"/>
    <row r="181" s="6" customFormat="1" ht="13.35" hidden="1" customHeight="1"/>
    <row r="182" s="6" customFormat="1" ht="13.35" hidden="1" customHeight="1"/>
    <row r="183" s="6" customFormat="1" ht="13.35" hidden="1" customHeight="1"/>
    <row r="184" s="6" customFormat="1" ht="13.35" hidden="1" customHeight="1"/>
    <row r="185" s="6" customFormat="1" ht="13.35" hidden="1" customHeight="1"/>
    <row r="186" s="6" customFormat="1" ht="13.35" hidden="1" customHeight="1"/>
    <row r="187" s="6" customFormat="1" ht="13.35" hidden="1" customHeight="1"/>
    <row r="188" s="6" customFormat="1" ht="13.35" hidden="1" customHeight="1"/>
    <row r="189" s="6" customFormat="1" ht="13.35" hidden="1" customHeight="1"/>
    <row r="190" s="6" customFormat="1" ht="13.35" hidden="1" customHeight="1"/>
    <row r="191" s="6" customFormat="1" ht="13.35" hidden="1" customHeight="1"/>
    <row r="192" s="6" customFormat="1" ht="13.35" hidden="1" customHeight="1"/>
    <row r="193" s="6" customFormat="1" ht="13.35" hidden="1" customHeight="1"/>
    <row r="194" s="6" customFormat="1" ht="13.35" hidden="1" customHeight="1"/>
    <row r="195" s="6" customFormat="1" ht="13.35" hidden="1" customHeight="1"/>
    <row r="196" s="6" customFormat="1" ht="13.35" hidden="1" customHeight="1"/>
    <row r="197" s="6" customFormat="1" ht="13.35" hidden="1" customHeight="1"/>
    <row r="247"/>
  </sheetData>
  <conditionalFormatting sqref="J101:W101">
    <cfRule type="cellIs" dxfId="55" priority="19" stopIfTrue="1" operator="notEqual">
      <formula>0</formula>
    </cfRule>
    <cfRule type="cellIs" dxfId="54" priority="20" stopIfTrue="1" operator="equal">
      <formula>""</formula>
    </cfRule>
  </conditionalFormatting>
  <conditionalFormatting sqref="V3:W3">
    <cfRule type="cellIs" dxfId="53" priority="10" operator="equal">
      <formula>#REF!</formula>
    </cfRule>
    <cfRule type="cellIs" dxfId="52" priority="11" stopIfTrue="1" operator="equal">
      <formula>#REF!</formula>
    </cfRule>
    <cfRule type="cellIs" dxfId="51" priority="12" stopIfTrue="1" operator="equal">
      <formula>#REF!</formula>
    </cfRule>
  </conditionalFormatting>
  <conditionalFormatting sqref="F101">
    <cfRule type="cellIs" dxfId="50" priority="5" stopIfTrue="1" operator="notEqual">
      <formula>0</formula>
    </cfRule>
    <cfRule type="cellIs" dxfId="49" priority="6" stopIfTrue="1" operator="equal">
      <formula>""</formula>
    </cfRule>
  </conditionalFormatting>
  <conditionalFormatting sqref="F2">
    <cfRule type="cellIs" dxfId="48" priority="3" stopIfTrue="1" operator="notEqual">
      <formula>0</formula>
    </cfRule>
    <cfRule type="cellIs" dxfId="47" priority="4" stopIfTrue="1" operator="equal">
      <formula>""</formula>
    </cfRule>
  </conditionalFormatting>
  <conditionalFormatting sqref="F3">
    <cfRule type="cellIs" dxfId="46" priority="1" stopIfTrue="1" operator="notEqual">
      <formula>0</formula>
    </cfRule>
    <cfRule type="cellIs" dxfId="45" priority="2" stopIfTrue="1" operator="equal">
      <formula>""</formula>
    </cfRule>
  </conditionalFormatting>
  <pageMargins left="0.7" right="0.7" top="0.75" bottom="0.75" header="0.3" footer="0.3"/>
  <pageSetup paperSize="9" scale="29"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8" stopIfTrue="1" operator="equal" id="{D90FB80B-24E9-421E-9273-6641E2E63980}">
            <xm:f xml:space="preserve"> Inputs!$F$20</xm:f>
            <x14:dxf>
              <fill>
                <patternFill>
                  <bgColor indexed="44"/>
                </patternFill>
              </fill>
            </x14:dxf>
          </x14:cfRule>
          <x14:cfRule type="cellIs" priority="9" stopIfTrue="1" operator="equal" id="{264470FA-2737-45E3-8035-71C3E1571551}">
            <xm:f>Inputs!$F$19</xm:f>
            <x14:dxf>
              <fill>
                <patternFill>
                  <bgColor indexed="47"/>
                </patternFill>
              </fill>
            </x14:dxf>
          </x14:cfRule>
          <xm:sqref>J3:W3</xm:sqref>
        </x14:conditionalFormatting>
        <x14:conditionalFormatting xmlns:xm="http://schemas.microsoft.com/office/excel/2006/main">
          <x14:cfRule type="cellIs" priority="7" operator="equal" id="{6DE3F48F-387F-453F-B992-57F3924AED28}">
            <xm:f>Inputs!$F$21</xm:f>
            <x14:dxf>
              <fill>
                <patternFill>
                  <bgColor rgb="FFD9D9D9"/>
                </patternFill>
              </fill>
            </x14:dxf>
          </x14:cfRule>
          <xm:sqref>K3:W3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4C3-8838-417E-AF0F-A63A32E5AF0F}">
  <sheetPr codeName="Sheet22">
    <outlinePr summaryBelow="0" summaryRight="0"/>
    <pageSetUpPr fitToPage="1"/>
  </sheetPr>
  <dimension ref="A1:W247"/>
  <sheetViews>
    <sheetView showGridLines="0" zoomScale="90" zoomScaleNormal="90" workbookViewId="0">
      <pane xSplit="9" ySplit="5" topLeftCell="J102" activePane="bottomRight" state="frozen"/>
      <selection pane="topRight" activeCell="J1" sqref="J1"/>
      <selection pane="bottomLeft" activeCell="A6" sqref="A6"/>
      <selection pane="bottomRight"/>
    </sheetView>
  </sheetViews>
  <sheetFormatPr defaultColWidth="0" defaultRowHeight="12.75" customHeight="1" zeroHeight="1" outlineLevelRow="1"/>
  <cols>
    <col min="1" max="1" width="1.44140625" style="64" customWidth="1"/>
    <col min="2" max="2" width="1.44140625" style="63" customWidth="1"/>
    <col min="3" max="3" width="1.44140625" style="62" customWidth="1"/>
    <col min="4" max="4" width="1.44140625" style="61" customWidth="1"/>
    <col min="5" max="5" width="76.44140625" style="57" bestFit="1" customWidth="1"/>
    <col min="6" max="6" width="12.5546875" style="57" customWidth="1"/>
    <col min="7" max="7" width="11.5546875" style="57" customWidth="1"/>
    <col min="8" max="8" width="15.5546875" style="57" customWidth="1"/>
    <col min="9" max="9" width="2.5546875" style="101" customWidth="1"/>
    <col min="10" max="21" width="12.5546875" style="57" customWidth="1"/>
    <col min="22" max="23" width="12.5546875" customWidth="1"/>
    <col min="24" max="16384" width="9" style="6" hidden="1"/>
  </cols>
  <sheetData>
    <row r="1" spans="1:23" ht="28.2">
      <c r="A1" s="213" t="str">
        <f ca="1" xml:space="preserve"> RIGHT(CELL("filename", $A$1), LEN(CELL("filename", $A$1)) - SEARCH("]", CELL("filename", $A$1)))</f>
        <v>Wastewater TTT</v>
      </c>
      <c r="B1" s="213"/>
      <c r="C1" s="213"/>
      <c r="D1" s="213"/>
      <c r="E1" s="213"/>
      <c r="F1" s="213"/>
      <c r="G1" s="213"/>
      <c r="H1" s="213"/>
      <c r="I1" s="213"/>
      <c r="J1" s="213"/>
      <c r="K1" s="213"/>
      <c r="L1" s="213"/>
      <c r="M1" s="213"/>
      <c r="N1" s="213"/>
      <c r="O1" s="213"/>
      <c r="P1" s="213"/>
      <c r="Q1" s="213"/>
      <c r="R1" s="213"/>
      <c r="S1" s="213"/>
      <c r="T1" s="213"/>
      <c r="U1" s="213"/>
      <c r="V1" s="213"/>
      <c r="W1" s="213"/>
    </row>
    <row r="2" spans="1:23" ht="13.2">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3.2">
      <c r="A3" s="90"/>
      <c r="B3" s="90"/>
      <c r="C3" s="91"/>
      <c r="D3" s="58"/>
      <c r="E3" s="82" t="str">
        <f xml:space="preserve"> Time!E$105</f>
        <v>Timeline label</v>
      </c>
      <c r="F3" s="158">
        <f xml:space="preserve"> Check!F$24</f>
        <v>3</v>
      </c>
      <c r="G3" s="82" t="str">
        <f xml:space="preserve"> Check!G$24</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ht="13.2">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3.2">
      <c r="A5" s="90"/>
      <c r="B5" s="90"/>
      <c r="C5" s="91"/>
      <c r="D5" s="58"/>
      <c r="E5" s="58" t="str">
        <f xml:space="preserve"> Time!E$10</f>
        <v>Model column counter</v>
      </c>
      <c r="F5" s="50" t="s">
        <v>136</v>
      </c>
      <c r="G5" s="160" t="s">
        <v>137</v>
      </c>
      <c r="H5" s="50" t="s">
        <v>138</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ht="13.2">
      <c r="A6" s="90"/>
      <c r="B6" s="90"/>
      <c r="C6" s="91"/>
      <c r="D6" s="161"/>
      <c r="E6" s="109"/>
      <c r="F6" s="56"/>
      <c r="G6" s="111"/>
      <c r="H6" s="56"/>
      <c r="I6" s="6"/>
      <c r="J6" s="109"/>
      <c r="K6" s="109"/>
      <c r="L6" s="109"/>
      <c r="M6" s="109"/>
      <c r="N6" s="109"/>
      <c r="O6" s="109"/>
      <c r="P6" s="109"/>
      <c r="Q6" s="109"/>
      <c r="R6" s="109"/>
      <c r="S6" s="109"/>
      <c r="T6" s="109"/>
      <c r="U6" s="109"/>
    </row>
    <row r="7" spans="1:23" ht="13.2">
      <c r="A7" s="115" t="s">
        <v>297</v>
      </c>
      <c r="B7" s="115"/>
      <c r="C7" s="114"/>
      <c r="D7" s="115"/>
      <c r="E7" s="115"/>
      <c r="F7" s="115"/>
      <c r="G7" s="115"/>
      <c r="H7" s="115"/>
      <c r="I7" s="115"/>
      <c r="J7" s="115"/>
      <c r="K7" s="115"/>
      <c r="L7" s="115"/>
      <c r="M7" s="115"/>
      <c r="N7" s="115"/>
      <c r="O7" s="115"/>
      <c r="P7" s="115"/>
      <c r="Q7" s="115"/>
      <c r="R7" s="115"/>
      <c r="S7" s="115"/>
      <c r="T7" s="115"/>
      <c r="U7" s="115"/>
      <c r="V7" s="115"/>
      <c r="W7" s="115"/>
    </row>
    <row r="8" spans="1:23" ht="13.2">
      <c r="A8" s="63"/>
      <c r="C8" s="110"/>
      <c r="E8" s="113"/>
      <c r="V8" s="57"/>
      <c r="W8" s="57"/>
    </row>
    <row r="9" spans="1:23" s="129" customFormat="1" ht="13.2" outlineLevel="1">
      <c r="A9" s="66"/>
      <c r="B9" s="66" t="s">
        <v>405</v>
      </c>
      <c r="C9" s="73"/>
      <c r="D9" s="71"/>
      <c r="E9" s="74"/>
      <c r="F9" s="74"/>
      <c r="G9" s="74"/>
      <c r="H9" s="74"/>
      <c r="J9" s="74"/>
      <c r="K9" s="74"/>
      <c r="L9" s="74"/>
      <c r="M9" s="74"/>
      <c r="N9" s="74"/>
      <c r="O9" s="74"/>
      <c r="P9" s="74"/>
      <c r="Q9" s="74"/>
      <c r="R9" s="74"/>
      <c r="S9" s="74"/>
      <c r="T9" s="74"/>
      <c r="U9" s="74"/>
      <c r="V9" s="74"/>
      <c r="W9" s="74"/>
    </row>
    <row r="10" spans="1:23" s="129" customFormat="1" ht="13.2" outlineLevel="1">
      <c r="A10" s="66"/>
      <c r="B10" s="66"/>
      <c r="C10" s="73"/>
      <c r="D10" s="71"/>
      <c r="E10" s="74"/>
      <c r="F10" s="74"/>
      <c r="G10" s="74"/>
      <c r="H10" s="74"/>
      <c r="J10" s="74"/>
      <c r="K10" s="74"/>
      <c r="L10" s="74"/>
      <c r="M10" s="74"/>
      <c r="N10" s="74"/>
      <c r="O10" s="74"/>
      <c r="P10" s="74"/>
      <c r="Q10" s="74"/>
      <c r="R10" s="74"/>
      <c r="S10" s="74"/>
      <c r="T10" s="74"/>
      <c r="U10" s="74"/>
      <c r="V10" s="74"/>
      <c r="W10" s="74"/>
    </row>
    <row r="11" spans="1:23" s="129" customFormat="1" ht="13.2" outlineLevel="1">
      <c r="A11" s="66"/>
      <c r="B11" s="66"/>
      <c r="C11" s="73"/>
      <c r="D11" s="71"/>
      <c r="E11" s="112" t="str">
        <f xml:space="preserve"> Inputs!E$133</f>
        <v>Allowed revenue - WW-TTT (base year 2019/2020)</v>
      </c>
      <c r="F11" s="112">
        <f xml:space="preserve"> Inputs!F$133</f>
        <v>62.310189119974403</v>
      </c>
      <c r="G11" s="112" t="str">
        <f xml:space="preserve"> Inputs!G$133</f>
        <v>£m</v>
      </c>
      <c r="H11" s="112">
        <f xml:space="preserve"> Inputs!H$133</f>
        <v>0</v>
      </c>
      <c r="I11" s="112">
        <f xml:space="preserve"> Inputs!I$133</f>
        <v>0</v>
      </c>
      <c r="J11" s="112">
        <f xml:space="preserve"> Inputs!J$133</f>
        <v>0</v>
      </c>
      <c r="K11" s="112">
        <f xml:space="preserve"> Inputs!K$133</f>
        <v>0</v>
      </c>
      <c r="L11" s="112">
        <f xml:space="preserve"> Inputs!L$133</f>
        <v>0</v>
      </c>
      <c r="M11" s="112">
        <f xml:space="preserve"> Inputs!M$133</f>
        <v>0</v>
      </c>
      <c r="N11" s="112">
        <f xml:space="preserve"> Inputs!N$133</f>
        <v>0</v>
      </c>
      <c r="O11" s="112">
        <f xml:space="preserve"> Inputs!O$133</f>
        <v>0</v>
      </c>
      <c r="P11" s="112">
        <f xml:space="preserve"> Inputs!P$133</f>
        <v>0</v>
      </c>
      <c r="Q11" s="112">
        <f xml:space="preserve"> Inputs!Q$133</f>
        <v>0</v>
      </c>
      <c r="R11" s="112">
        <f xml:space="preserve"> Inputs!R$133</f>
        <v>0</v>
      </c>
      <c r="S11" s="112">
        <f xml:space="preserve"> Inputs!S$133</f>
        <v>0</v>
      </c>
      <c r="T11" s="112">
        <f xml:space="preserve"> Inputs!T$133</f>
        <v>0</v>
      </c>
      <c r="U11" s="112">
        <f xml:space="preserve"> Inputs!U$133</f>
        <v>0</v>
      </c>
      <c r="V11" s="112">
        <f xml:space="preserve"> Inputs!V$133</f>
        <v>0</v>
      </c>
      <c r="W11" s="112">
        <f xml:space="preserve"> Inputs!W$133</f>
        <v>0</v>
      </c>
    </row>
    <row r="12" spans="1:23" s="85" customFormat="1" ht="13.2" outlineLevel="1">
      <c r="A12" s="116"/>
      <c r="B12" s="116"/>
      <c r="C12" s="117"/>
      <c r="E12" s="81" t="str">
        <f xml:space="preserve"> 'Indices and K factor'!E$74</f>
        <v>Revenue indexation - WW-TTT</v>
      </c>
      <c r="F12" s="81">
        <f xml:space="preserve"> 'Indices and K factor'!F$74</f>
        <v>0</v>
      </c>
      <c r="G12" s="81" t="str">
        <f xml:space="preserve"> 'Indices and K factor'!G$74</f>
        <v>factor</v>
      </c>
      <c r="H12" s="81">
        <f xml:space="preserve"> 'Indices and K factor'!H$74</f>
        <v>0</v>
      </c>
      <c r="I12" s="81">
        <f xml:space="preserve"> 'Indices and K factor'!I$74</f>
        <v>0</v>
      </c>
      <c r="J12" s="228">
        <f xml:space="preserve"> 'Indices and K factor'!J$74</f>
        <v>0</v>
      </c>
      <c r="K12" s="228">
        <f xml:space="preserve"> 'Indices and K factor'!K$74</f>
        <v>0</v>
      </c>
      <c r="L12" s="228">
        <f xml:space="preserve"> 'Indices and K factor'!L$74</f>
        <v>0</v>
      </c>
      <c r="M12" s="228">
        <f xml:space="preserve"> 'Indices and K factor'!M$74</f>
        <v>0</v>
      </c>
      <c r="N12" s="228">
        <f xml:space="preserve"> 'Indices and K factor'!N$74</f>
        <v>0</v>
      </c>
      <c r="O12" s="228">
        <f xml:space="preserve"> 'Indices and K factor'!O$74</f>
        <v>0</v>
      </c>
      <c r="P12" s="228">
        <f xml:space="preserve"> 'Indices and K factor'!P$74</f>
        <v>0.81766725912067351</v>
      </c>
      <c r="Q12" s="228">
        <f xml:space="preserve"> 'Indices and K factor'!Q$74</f>
        <v>1.0519299539170506</v>
      </c>
      <c r="R12" s="228">
        <f xml:space="preserve"> 'Indices and K factor'!R$74</f>
        <v>1.0736295142071495</v>
      </c>
      <c r="S12" s="228">
        <f xml:space="preserve"> 'Indices and K factor'!S$74</f>
        <v>0.97867738825591588</v>
      </c>
      <c r="T12" s="228">
        <f xml:space="preserve"> 'Indices and K factor'!T$74</f>
        <v>0.87305929487179501</v>
      </c>
      <c r="U12" s="228">
        <f xml:space="preserve"> 'Indices and K factor'!U$74</f>
        <v>0</v>
      </c>
      <c r="V12" s="228">
        <f xml:space="preserve"> 'Indices and K factor'!V$74</f>
        <v>0</v>
      </c>
      <c r="W12" s="228">
        <f xml:space="preserve"> 'Indices and K factor'!W$74</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ht="13.2" outlineLevel="1">
      <c r="A14" s="305"/>
      <c r="B14" s="305"/>
      <c r="C14" s="306"/>
      <c r="E14" s="205" t="s">
        <v>218</v>
      </c>
      <c r="F14" s="307"/>
      <c r="G14" s="307" t="s">
        <v>97</v>
      </c>
      <c r="H14" s="210">
        <f xml:space="preserve"> SUM(J14:W14)</f>
        <v>267.56421099914377</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xml:space="preserve"> IF(P13 = 1, $F11 * P12, O14 * P12 )</f>
        <v>50.949001553020281</v>
      </c>
      <c r="Q14" s="210">
        <f t="shared" si="0"/>
        <v>53.594780855788365</v>
      </c>
      <c r="R14" s="210">
        <f t="shared" si="0"/>
        <v>57.540938534238698</v>
      </c>
      <c r="S14" s="210">
        <f t="shared" si="0"/>
        <v>56.314015442482919</v>
      </c>
      <c r="T14" s="210">
        <f t="shared" si="0"/>
        <v>49.165474613613512</v>
      </c>
      <c r="U14" s="210">
        <f t="shared" si="0"/>
        <v>0</v>
      </c>
      <c r="V14" s="210">
        <f t="shared" si="0"/>
        <v>0</v>
      </c>
      <c r="W14" s="210">
        <f t="shared" si="0"/>
        <v>0</v>
      </c>
    </row>
    <row r="15" spans="1:23" ht="13.2" outlineLevel="1">
      <c r="A15" s="63"/>
      <c r="C15" s="110"/>
      <c r="E15" s="113"/>
      <c r="V15" s="57"/>
      <c r="W15" s="57"/>
    </row>
    <row r="16" spans="1:23" ht="13.2">
      <c r="A16" s="115" t="s">
        <v>306</v>
      </c>
      <c r="B16" s="115"/>
      <c r="C16" s="114"/>
      <c r="D16" s="115"/>
      <c r="E16" s="115"/>
      <c r="F16" s="115"/>
      <c r="G16" s="115"/>
      <c r="H16" s="115"/>
      <c r="I16" s="115"/>
      <c r="J16" s="115"/>
      <c r="K16" s="115"/>
      <c r="L16" s="115"/>
      <c r="M16" s="115"/>
      <c r="N16" s="115"/>
      <c r="O16" s="115"/>
      <c r="P16" s="115"/>
      <c r="Q16" s="115"/>
      <c r="R16" s="115"/>
      <c r="S16" s="115"/>
      <c r="T16" s="115"/>
      <c r="U16" s="115"/>
      <c r="V16" s="115"/>
      <c r="W16" s="115"/>
    </row>
    <row r="17" spans="1:23" ht="13.2">
      <c r="A17" s="63"/>
      <c r="C17" s="110"/>
      <c r="E17" s="113"/>
      <c r="V17" s="57"/>
      <c r="W17" s="57"/>
    </row>
    <row r="18" spans="1:23" s="129" customFormat="1" ht="13.2" outlineLevel="1">
      <c r="A18" s="66"/>
      <c r="B18" s="66" t="s">
        <v>197</v>
      </c>
      <c r="C18" s="73"/>
      <c r="D18" s="71"/>
      <c r="E18" s="74"/>
      <c r="F18" s="74"/>
      <c r="G18" s="74"/>
      <c r="H18" s="74"/>
      <c r="J18" s="74"/>
      <c r="K18" s="74"/>
      <c r="L18" s="74"/>
      <c r="M18" s="74"/>
      <c r="N18" s="74"/>
      <c r="O18" s="74"/>
      <c r="P18" s="74"/>
      <c r="Q18" s="74"/>
      <c r="R18" s="74"/>
      <c r="S18" s="74"/>
      <c r="T18" s="74"/>
      <c r="U18" s="74"/>
      <c r="V18" s="74"/>
      <c r="W18" s="74"/>
    </row>
    <row r="19" spans="1:23" s="129" customFormat="1" ht="13.2" outlineLevel="1">
      <c r="A19" s="66"/>
      <c r="B19" s="66"/>
      <c r="C19" s="73"/>
      <c r="D19" s="71"/>
      <c r="E19" s="74"/>
      <c r="F19" s="74"/>
      <c r="G19" s="74"/>
      <c r="H19" s="74"/>
      <c r="J19" s="74"/>
      <c r="K19" s="74"/>
      <c r="L19" s="74"/>
      <c r="M19" s="74"/>
      <c r="N19" s="74"/>
      <c r="O19" s="74"/>
      <c r="P19" s="74"/>
      <c r="Q19" s="74"/>
      <c r="R19" s="74"/>
      <c r="S19" s="74"/>
      <c r="T19" s="74"/>
      <c r="U19" s="74"/>
      <c r="V19" s="74"/>
      <c r="W19" s="74"/>
    </row>
    <row r="20" spans="1:23" s="129" customFormat="1" ht="13.2" outlineLevel="1">
      <c r="A20" s="66"/>
      <c r="B20" s="66"/>
      <c r="C20" s="73"/>
      <c r="D20" s="71"/>
      <c r="E20" s="112" t="str">
        <f xml:space="preserve"> Inputs!E$141</f>
        <v>Total blind year adjustment - WW-TTT (base year 2019/2020)</v>
      </c>
      <c r="F20" s="112">
        <f xml:space="preserve"> Inputs!F$141</f>
        <v>1.5152917485265229</v>
      </c>
      <c r="G20" s="112" t="str">
        <f xml:space="preserve"> Inputs!G$141</f>
        <v>£m</v>
      </c>
      <c r="H20" s="112">
        <f xml:space="preserve"> Inputs!H$141</f>
        <v>0</v>
      </c>
      <c r="I20" s="112">
        <f xml:space="preserve"> Inputs!I$141</f>
        <v>0</v>
      </c>
      <c r="J20" s="112">
        <f xml:space="preserve"> Inputs!J$141</f>
        <v>0</v>
      </c>
      <c r="K20" s="112">
        <f xml:space="preserve"> Inputs!K$141</f>
        <v>0</v>
      </c>
      <c r="L20" s="112">
        <f xml:space="preserve"> Inputs!L$141</f>
        <v>0</v>
      </c>
      <c r="M20" s="112">
        <f xml:space="preserve"> Inputs!M$141</f>
        <v>0</v>
      </c>
      <c r="N20" s="112">
        <f xml:space="preserve"> Inputs!N$141</f>
        <v>0</v>
      </c>
      <c r="O20" s="112">
        <f xml:space="preserve"> Inputs!O$141</f>
        <v>0</v>
      </c>
      <c r="P20" s="112">
        <f xml:space="preserve"> Inputs!P$141</f>
        <v>0</v>
      </c>
      <c r="Q20" s="112">
        <f xml:space="preserve"> Inputs!Q$141</f>
        <v>0</v>
      </c>
      <c r="R20" s="112">
        <f xml:space="preserve"> Inputs!R$141</f>
        <v>0</v>
      </c>
      <c r="S20" s="112">
        <f xml:space="preserve"> Inputs!S$141</f>
        <v>0</v>
      </c>
      <c r="T20" s="112">
        <f xml:space="preserve"> Inputs!T$141</f>
        <v>0</v>
      </c>
      <c r="U20" s="112">
        <f xml:space="preserve"> Inputs!U$141</f>
        <v>0</v>
      </c>
      <c r="V20" s="112">
        <f xml:space="preserve"> Inputs!V$141</f>
        <v>0</v>
      </c>
      <c r="W20" s="112">
        <f xml:space="preserve"> Inputs!W$141</f>
        <v>0</v>
      </c>
    </row>
    <row r="21" spans="1:23" s="129" customFormat="1" ht="13.2" outlineLevel="1">
      <c r="A21" s="66"/>
      <c r="B21" s="66"/>
      <c r="C21" s="73"/>
      <c r="D21" s="71"/>
      <c r="E21" s="112" t="str">
        <f xml:space="preserve"> Inputs!E$143</f>
        <v xml:space="preserve">Blind year profiling factor - WW-TTT </v>
      </c>
      <c r="F21" s="112">
        <f xml:space="preserve"> Inputs!F$143</f>
        <v>0</v>
      </c>
      <c r="G21" s="112" t="str">
        <f xml:space="preserve"> Inputs!G$143</f>
        <v>%</v>
      </c>
      <c r="H21" s="36">
        <f xml:space="preserve"> Inputs!H$143</f>
        <v>0</v>
      </c>
      <c r="I21" s="36">
        <f xml:space="preserve"> Inputs!I$143</f>
        <v>0</v>
      </c>
      <c r="J21" s="36">
        <f xml:space="preserve"> Inputs!J$143</f>
        <v>0</v>
      </c>
      <c r="K21" s="36">
        <f xml:space="preserve"> Inputs!K$143</f>
        <v>0</v>
      </c>
      <c r="L21" s="36">
        <f xml:space="preserve"> Inputs!L$143</f>
        <v>0</v>
      </c>
      <c r="M21" s="36">
        <f xml:space="preserve"> Inputs!M$143</f>
        <v>0</v>
      </c>
      <c r="N21" s="36">
        <f xml:space="preserve"> Inputs!N$143</f>
        <v>0</v>
      </c>
      <c r="O21" s="36">
        <f xml:space="preserve"> Inputs!O$143</f>
        <v>0</v>
      </c>
      <c r="P21" s="36">
        <f xml:space="preserve"> Inputs!P$143</f>
        <v>0</v>
      </c>
      <c r="Q21" s="36">
        <f xml:space="preserve"> Inputs!Q$143</f>
        <v>0</v>
      </c>
      <c r="R21" s="36">
        <f xml:space="preserve"> Inputs!R$143</f>
        <v>0</v>
      </c>
      <c r="S21" s="36">
        <f xml:space="preserve"> Inputs!S$143</f>
        <v>0</v>
      </c>
      <c r="T21" s="36">
        <f xml:space="preserve"> Inputs!T$143</f>
        <v>0</v>
      </c>
      <c r="U21" s="36">
        <f xml:space="preserve"> Inputs!U$143</f>
        <v>0</v>
      </c>
      <c r="V21" s="36">
        <f xml:space="preserve"> Inputs!V$143</f>
        <v>0</v>
      </c>
      <c r="W21" s="36">
        <f xml:space="preserve"> Inputs!W$143</f>
        <v>0</v>
      </c>
    </row>
    <row r="22" spans="1:23" s="129" customFormat="1" ht="13.2" outlineLevel="1">
      <c r="A22" s="66"/>
      <c r="B22" s="66"/>
      <c r="C22" s="73"/>
      <c r="D22" s="71"/>
      <c r="E22" s="129" t="s">
        <v>406</v>
      </c>
      <c r="F22" s="112"/>
      <c r="G22" s="70" t="s">
        <v>97</v>
      </c>
      <c r="H22" s="83">
        <f xml:space="preserve"> SUM(J22:W22)</f>
        <v>0</v>
      </c>
      <c r="I22" s="86"/>
      <c r="J22" s="83">
        <f xml:space="preserve"> J21 * $F$20</f>
        <v>0</v>
      </c>
      <c r="K22" s="83">
        <f t="shared" ref="K22:W22" si="1" xml:space="preserve"> K21 * $F$20</f>
        <v>0</v>
      </c>
      <c r="L22" s="83">
        <f t="shared" si="1"/>
        <v>0</v>
      </c>
      <c r="M22" s="83">
        <f t="shared" si="1"/>
        <v>0</v>
      </c>
      <c r="N22" s="83">
        <f t="shared" si="1"/>
        <v>0</v>
      </c>
      <c r="O22" s="83">
        <f t="shared" si="1"/>
        <v>0</v>
      </c>
      <c r="P22" s="83">
        <f xml:space="preserve"> P21 * $F$20</f>
        <v>0</v>
      </c>
      <c r="Q22" s="83">
        <f t="shared" si="1"/>
        <v>0</v>
      </c>
      <c r="R22" s="83">
        <f t="shared" si="1"/>
        <v>0</v>
      </c>
      <c r="S22" s="83">
        <f t="shared" si="1"/>
        <v>0</v>
      </c>
      <c r="T22" s="83">
        <f t="shared" si="1"/>
        <v>0</v>
      </c>
      <c r="U22" s="83">
        <f t="shared" si="1"/>
        <v>0</v>
      </c>
      <c r="V22" s="83">
        <f t="shared" si="1"/>
        <v>0</v>
      </c>
      <c r="W22" s="83">
        <f t="shared" si="1"/>
        <v>0</v>
      </c>
    </row>
    <row r="23" spans="1:23" s="129" customFormat="1" ht="13.2" outlineLevel="1">
      <c r="A23" s="66"/>
      <c r="B23" s="66"/>
      <c r="C23" s="73"/>
      <c r="D23" s="71"/>
      <c r="F23" s="112"/>
      <c r="G23" s="112"/>
      <c r="H23" s="74"/>
      <c r="J23" s="74"/>
      <c r="K23" s="74"/>
      <c r="L23" s="74"/>
      <c r="M23" s="74"/>
      <c r="N23" s="74"/>
      <c r="O23" s="74"/>
      <c r="P23" s="74"/>
      <c r="Q23" s="74"/>
      <c r="R23" s="74"/>
      <c r="S23" s="74"/>
      <c r="T23" s="74"/>
      <c r="U23" s="74"/>
      <c r="V23" s="74"/>
      <c r="W23" s="74"/>
    </row>
    <row r="24" spans="1:23" s="129" customFormat="1" ht="13.2" outlineLevel="1">
      <c r="A24" s="166"/>
      <c r="B24" s="166"/>
      <c r="C24" s="167"/>
      <c r="D24" s="75"/>
      <c r="E24" s="43" t="str">
        <f xml:space="preserve"> Inputs!E$63</f>
        <v>Discount rate</v>
      </c>
      <c r="F24" s="43">
        <f xml:space="preserve"> Inputs!F$63</f>
        <v>2.92E-2</v>
      </c>
      <c r="G24" s="43" t="str">
        <f xml:space="preserve"> Inputs!G$63</f>
        <v>%</v>
      </c>
      <c r="H24" s="43">
        <f xml:space="preserve"> Inputs!H$63</f>
        <v>0</v>
      </c>
      <c r="I24" s="43">
        <f xml:space="preserve"> Inputs!I$63</f>
        <v>0</v>
      </c>
      <c r="J24" s="43">
        <f xml:space="preserve"> Inputs!J$63</f>
        <v>0</v>
      </c>
      <c r="K24" s="43">
        <f xml:space="preserve"> Inputs!K$63</f>
        <v>0</v>
      </c>
      <c r="L24" s="43">
        <f xml:space="preserve"> Inputs!L$63</f>
        <v>0</v>
      </c>
      <c r="M24" s="43">
        <f xml:space="preserve"> Inputs!M$63</f>
        <v>0</v>
      </c>
      <c r="N24" s="43">
        <f xml:space="preserve"> Inputs!N$63</f>
        <v>0</v>
      </c>
      <c r="O24" s="43">
        <f xml:space="preserve"> Inputs!O$63</f>
        <v>0</v>
      </c>
      <c r="P24" s="43">
        <f xml:space="preserve"> Inputs!P$63</f>
        <v>0</v>
      </c>
      <c r="Q24" s="43">
        <f xml:space="preserve"> Inputs!Q$63</f>
        <v>0</v>
      </c>
      <c r="R24" s="43">
        <f xml:space="preserve"> Inputs!R$63</f>
        <v>0</v>
      </c>
      <c r="S24" s="43">
        <f xml:space="preserve"> Inputs!S$63</f>
        <v>0</v>
      </c>
      <c r="T24" s="43">
        <f xml:space="preserve"> Inputs!T$63</f>
        <v>0</v>
      </c>
      <c r="U24" s="43">
        <f xml:space="preserve"> Inputs!U$63</f>
        <v>0</v>
      </c>
      <c r="V24" s="43">
        <f xml:space="preserve"> Inputs!V$63</f>
        <v>0</v>
      </c>
      <c r="W24" s="43">
        <f xml:space="preserve"> Inputs!W$63</f>
        <v>0</v>
      </c>
    </row>
    <row r="25" spans="1:23" s="129" customFormat="1" ht="13.2" outlineLevel="1">
      <c r="A25" s="66"/>
      <c r="B25" s="66"/>
      <c r="C25" s="73"/>
      <c r="D25" s="71"/>
      <c r="E25" s="129" t="str">
        <f xml:space="preserve"> E$22</f>
        <v>Blind year adjustment (profiled) - WW-TTT (base year 2019/20)</v>
      </c>
      <c r="F25" s="129">
        <f t="shared" ref="F25:W25" si="2" xml:space="preserve"> F$22</f>
        <v>0</v>
      </c>
      <c r="G25" s="129" t="str">
        <f t="shared" si="2"/>
        <v>£m</v>
      </c>
      <c r="H25" s="148">
        <f t="shared" si="2"/>
        <v>0</v>
      </c>
      <c r="I25" s="148">
        <f t="shared" si="2"/>
        <v>0</v>
      </c>
      <c r="J25" s="148">
        <f t="shared" si="2"/>
        <v>0</v>
      </c>
      <c r="K25" s="148">
        <f t="shared" si="2"/>
        <v>0</v>
      </c>
      <c r="L25" s="148">
        <f t="shared" si="2"/>
        <v>0</v>
      </c>
      <c r="M25" s="148">
        <f t="shared" si="2"/>
        <v>0</v>
      </c>
      <c r="N25" s="148">
        <f t="shared" si="2"/>
        <v>0</v>
      </c>
      <c r="O25" s="148">
        <f t="shared" si="2"/>
        <v>0</v>
      </c>
      <c r="P25" s="148">
        <f t="shared" si="2"/>
        <v>0</v>
      </c>
      <c r="Q25" s="148">
        <f t="shared" si="2"/>
        <v>0</v>
      </c>
      <c r="R25" s="148">
        <f t="shared" si="2"/>
        <v>0</v>
      </c>
      <c r="S25" s="148">
        <f t="shared" si="2"/>
        <v>0</v>
      </c>
      <c r="T25" s="148">
        <f t="shared" si="2"/>
        <v>0</v>
      </c>
      <c r="U25" s="148">
        <f t="shared" si="2"/>
        <v>0</v>
      </c>
      <c r="V25" s="148">
        <f t="shared" si="2"/>
        <v>0</v>
      </c>
      <c r="W25" s="148">
        <f t="shared" si="2"/>
        <v>0</v>
      </c>
    </row>
    <row r="26" spans="1:23" customFormat="1" ht="12.75" customHeight="1" outlineLevel="1">
      <c r="A26" s="64"/>
      <c r="B26" s="63"/>
      <c r="C26" s="62"/>
      <c r="D26" s="61"/>
      <c r="E26" s="45" t="str">
        <f xml:space="preserve"> Time!E$63</f>
        <v>Forecast period counter</v>
      </c>
      <c r="F26" s="45">
        <f xml:space="preserve"> Time!F$63</f>
        <v>0</v>
      </c>
      <c r="G26" s="45" t="str">
        <f xml:space="preserve"> Time!G$63</f>
        <v>counter</v>
      </c>
      <c r="H26" s="45">
        <f xml:space="preserve"> Time!H$63</f>
        <v>0</v>
      </c>
      <c r="I26" s="45">
        <f xml:space="preserve"> Time!I$63</f>
        <v>0</v>
      </c>
      <c r="J26" s="45">
        <f xml:space="preserve"> Time!J$63</f>
        <v>0</v>
      </c>
      <c r="K26" s="45">
        <f xml:space="preserve"> Time!K$63</f>
        <v>0</v>
      </c>
      <c r="L26" s="45">
        <f xml:space="preserve"> Time!L$63</f>
        <v>0</v>
      </c>
      <c r="M26" s="45">
        <f xml:space="preserve"> Time!M$63</f>
        <v>0</v>
      </c>
      <c r="N26" s="45">
        <f xml:space="preserve"> Time!N$63</f>
        <v>0</v>
      </c>
      <c r="O26" s="45">
        <f xml:space="preserve"> Time!O$63</f>
        <v>0</v>
      </c>
      <c r="P26" s="45">
        <f xml:space="preserve"> Time!P$63</f>
        <v>1</v>
      </c>
      <c r="Q26" s="45">
        <f xml:space="preserve"> Time!Q$63</f>
        <v>2</v>
      </c>
      <c r="R26" s="45">
        <f xml:space="preserve"> Time!R$63</f>
        <v>3</v>
      </c>
      <c r="S26" s="45">
        <f xml:space="preserve"> Time!S$63</f>
        <v>4</v>
      </c>
      <c r="T26" s="45">
        <f xml:space="preserve"> Time!T$63</f>
        <v>5</v>
      </c>
      <c r="U26" s="45">
        <f xml:space="preserve"> Time!U$63</f>
        <v>0</v>
      </c>
      <c r="V26" s="45">
        <f xml:space="preserve"> Time!V$63</f>
        <v>0</v>
      </c>
      <c r="W26" s="45">
        <f xml:space="preserve"> Time!W$63</f>
        <v>0</v>
      </c>
    </row>
    <row r="27" spans="1:23" customFormat="1" ht="12.75" customHeight="1" outlineLevel="1">
      <c r="A27" s="64"/>
      <c r="B27" s="64"/>
      <c r="C27" s="62"/>
      <c r="D27" s="61"/>
      <c r="E27" s="129" t="s">
        <v>407</v>
      </c>
      <c r="F27" s="18"/>
      <c r="G27" s="74" t="s">
        <v>97</v>
      </c>
      <c r="H27" s="70">
        <f xml:space="preserve"> SUM( J27:W27 )</f>
        <v>0</v>
      </c>
      <c r="I27" s="204"/>
      <c r="J27" s="70">
        <f xml:space="preserve"> J25 * ( 1 + $F$24 ) ^ J26</f>
        <v>0</v>
      </c>
      <c r="K27" s="70">
        <f t="shared" ref="K27:W27" si="3" xml:space="preserve"> K25 * ( 1 + $F$24 ) ^ K26</f>
        <v>0</v>
      </c>
      <c r="L27" s="70">
        <f t="shared" si="3"/>
        <v>0</v>
      </c>
      <c r="M27" s="70">
        <f t="shared" si="3"/>
        <v>0</v>
      </c>
      <c r="N27" s="70">
        <f t="shared" si="3"/>
        <v>0</v>
      </c>
      <c r="O27" s="70">
        <f t="shared" si="3"/>
        <v>0</v>
      </c>
      <c r="P27" s="70">
        <f t="shared" si="3"/>
        <v>0</v>
      </c>
      <c r="Q27" s="70">
        <f t="shared" si="3"/>
        <v>0</v>
      </c>
      <c r="R27" s="70">
        <f t="shared" si="3"/>
        <v>0</v>
      </c>
      <c r="S27" s="70">
        <f t="shared" si="3"/>
        <v>0</v>
      </c>
      <c r="T27" s="70">
        <f t="shared" si="3"/>
        <v>0</v>
      </c>
      <c r="U27" s="70">
        <f t="shared" si="3"/>
        <v>0</v>
      </c>
      <c r="V27" s="70">
        <f t="shared" si="3"/>
        <v>0</v>
      </c>
      <c r="W27" s="70">
        <f t="shared" si="3"/>
        <v>0</v>
      </c>
    </row>
    <row r="28" spans="1:23" customFormat="1" ht="12.75" customHeight="1" outlineLevel="1">
      <c r="A28" s="64"/>
      <c r="B28" s="64"/>
      <c r="C28" s="62"/>
      <c r="D28" s="61"/>
      <c r="E28" s="129"/>
      <c r="F28" s="18"/>
      <c r="G28" s="74"/>
      <c r="H28" s="18"/>
      <c r="I28" s="204"/>
      <c r="J28" s="18"/>
      <c r="K28" s="18"/>
      <c r="L28" s="18"/>
      <c r="M28" s="112"/>
      <c r="N28" s="112"/>
      <c r="O28" s="112"/>
      <c r="P28" s="112"/>
      <c r="Q28" s="112"/>
      <c r="R28" s="112"/>
      <c r="S28" s="112"/>
      <c r="T28" s="112"/>
      <c r="U28" s="112"/>
      <c r="V28" s="18"/>
      <c r="W28" s="18"/>
    </row>
    <row r="29" spans="1:23" ht="13.2" outlineLevel="1">
      <c r="B29" s="64"/>
      <c r="E29" s="43" t="str">
        <f xml:space="preserve"> 'Indices and K factor'!E$22</f>
        <v>CPIH: Nov - Nov index (prior year) inflating from 2019/20</v>
      </c>
      <c r="F29" s="43">
        <f xml:space="preserve"> 'Indices and K factor'!F$22</f>
        <v>0</v>
      </c>
      <c r="G29" s="43" t="str">
        <f xml:space="preserve"> 'Indices and K factor'!G$22</f>
        <v>index</v>
      </c>
      <c r="H29" s="43">
        <f xml:space="preserve"> 'Indices and K factor'!H$22</f>
        <v>0</v>
      </c>
      <c r="I29" s="43">
        <f xml:space="preserve"> 'Indices and K factor'!I$22</f>
        <v>0</v>
      </c>
      <c r="J29" s="43">
        <f xml:space="preserve"> 'Indices and K factor'!J$22</f>
        <v>0</v>
      </c>
      <c r="K29" s="43">
        <f xml:space="preserve"> 'Indices and K factor'!K$22</f>
        <v>0</v>
      </c>
      <c r="L29" s="43">
        <f xml:space="preserve"> 'Indices and K factor'!L$22</f>
        <v>0</v>
      </c>
      <c r="M29" s="43">
        <f xml:space="preserve"> 'Indices and K factor'!M$22</f>
        <v>0</v>
      </c>
      <c r="N29" s="43">
        <f xml:space="preserve"> 'Indices and K factor'!N$22</f>
        <v>0</v>
      </c>
      <c r="O29" s="43">
        <f xml:space="preserve"> 'Indices and K factor'!O$22</f>
        <v>0</v>
      </c>
      <c r="P29" s="43">
        <f xml:space="preserve"> 'Indices and K factor'!P$22</f>
        <v>1.0149672591206735</v>
      </c>
      <c r="Q29" s="43">
        <f xml:space="preserve"> 'Indices and K factor'!Q$22</f>
        <v>1.020579981290926</v>
      </c>
      <c r="R29" s="43">
        <f xml:space="preserve"> 'Indices and K factor'!R$22</f>
        <v>1.0673526660430308</v>
      </c>
      <c r="S29" s="43">
        <f xml:space="preserve"> 'Indices and K factor'!S$22</f>
        <v>1.167446211412535</v>
      </c>
      <c r="T29" s="43">
        <f xml:space="preserve"> 'Indices and K factor'!T$22</f>
        <v>1.2165481758652947</v>
      </c>
      <c r="U29" s="43">
        <f xml:space="preserve"> 'Indices and K factor'!U$22</f>
        <v>0</v>
      </c>
      <c r="V29" s="43">
        <f xml:space="preserve"> 'Indices and K factor'!V$22</f>
        <v>0</v>
      </c>
      <c r="W29" s="43">
        <f xml:space="preserve"> 'Indices and K factor'!W$22</f>
        <v>0</v>
      </c>
    </row>
    <row r="30" spans="1:23" s="34" customFormat="1" ht="13.2" outlineLevel="1">
      <c r="A30" s="54"/>
      <c r="B30" s="54"/>
      <c r="C30" s="52"/>
      <c r="D30" s="94"/>
      <c r="E30" s="101" t="str">
        <f xml:space="preserve"> E$27</f>
        <v>Blind year adjustment inc. financing rate adjustment - WW-TTT (base year 2019/2020)</v>
      </c>
      <c r="F30" s="101">
        <f t="shared" ref="F30:W30" si="4" xml:space="preserve"> F$27</f>
        <v>0</v>
      </c>
      <c r="G30" s="101" t="str">
        <f t="shared" si="4"/>
        <v>£m</v>
      </c>
      <c r="H30" s="93">
        <f t="shared" si="4"/>
        <v>0</v>
      </c>
      <c r="I30" s="93">
        <f t="shared" si="4"/>
        <v>0</v>
      </c>
      <c r="J30" s="93">
        <f t="shared" si="4"/>
        <v>0</v>
      </c>
      <c r="K30" s="93">
        <f t="shared" si="4"/>
        <v>0</v>
      </c>
      <c r="L30" s="93">
        <f t="shared" si="4"/>
        <v>0</v>
      </c>
      <c r="M30" s="93">
        <f t="shared" si="4"/>
        <v>0</v>
      </c>
      <c r="N30" s="93">
        <f t="shared" si="4"/>
        <v>0</v>
      </c>
      <c r="O30" s="93">
        <f t="shared" si="4"/>
        <v>0</v>
      </c>
      <c r="P30" s="93">
        <f t="shared" si="4"/>
        <v>0</v>
      </c>
      <c r="Q30" s="93">
        <f t="shared" si="4"/>
        <v>0</v>
      </c>
      <c r="R30" s="93">
        <f t="shared" si="4"/>
        <v>0</v>
      </c>
      <c r="S30" s="93">
        <f t="shared" si="4"/>
        <v>0</v>
      </c>
      <c r="T30" s="93">
        <f t="shared" si="4"/>
        <v>0</v>
      </c>
      <c r="U30" s="93">
        <f t="shared" si="4"/>
        <v>0</v>
      </c>
      <c r="V30" s="93">
        <f t="shared" si="4"/>
        <v>0</v>
      </c>
      <c r="W30" s="93">
        <f t="shared" si="4"/>
        <v>0</v>
      </c>
    </row>
    <row r="31" spans="1:23" s="129" customFormat="1" ht="13.2" outlineLevel="1">
      <c r="A31" s="166"/>
      <c r="B31" s="166"/>
      <c r="C31" s="167"/>
      <c r="D31" s="75"/>
      <c r="E31" s="153" t="s">
        <v>408</v>
      </c>
      <c r="F31" s="153"/>
      <c r="G31" s="153" t="s">
        <v>97</v>
      </c>
      <c r="H31" s="276">
        <f xml:space="preserve"> SUM( J31:W31 )</f>
        <v>0</v>
      </c>
      <c r="I31" s="153"/>
      <c r="J31" s="276">
        <f xml:space="preserve"> J29 * J30</f>
        <v>0</v>
      </c>
      <c r="K31" s="276">
        <f t="shared" ref="K31:T31" si="5" xml:space="preserve"> K29 * K30</f>
        <v>0</v>
      </c>
      <c r="L31" s="276">
        <f xml:space="preserve"> L29 * L30</f>
        <v>0</v>
      </c>
      <c r="M31" s="276">
        <f t="shared" si="5"/>
        <v>0</v>
      </c>
      <c r="N31" s="276">
        <f t="shared" si="5"/>
        <v>0</v>
      </c>
      <c r="O31" s="276">
        <f t="shared" si="5"/>
        <v>0</v>
      </c>
      <c r="P31" s="276">
        <f xml:space="preserve"> P29 * P30</f>
        <v>0</v>
      </c>
      <c r="Q31" s="276">
        <f t="shared" si="5"/>
        <v>0</v>
      </c>
      <c r="R31" s="276">
        <f t="shared" si="5"/>
        <v>0</v>
      </c>
      <c r="S31" s="276">
        <f t="shared" si="5"/>
        <v>0</v>
      </c>
      <c r="T31" s="276">
        <f t="shared" si="5"/>
        <v>0</v>
      </c>
      <c r="U31" s="276">
        <f xml:space="preserve"> U29 * U30</f>
        <v>0</v>
      </c>
      <c r="V31" s="276">
        <f xml:space="preserve"> V29 * V30</f>
        <v>0</v>
      </c>
      <c r="W31" s="276">
        <f xml:space="preserve"> W29 * W30</f>
        <v>0</v>
      </c>
    </row>
    <row r="32" spans="1:23" s="129" customFormat="1" ht="13.2" outlineLevel="1">
      <c r="A32" s="166"/>
      <c r="B32" s="66"/>
      <c r="C32" s="167"/>
      <c r="D32" s="71"/>
      <c r="E32" s="74"/>
      <c r="F32" s="74"/>
      <c r="G32" s="74"/>
      <c r="H32" s="70"/>
      <c r="J32" s="70"/>
      <c r="K32" s="70"/>
      <c r="L32" s="70"/>
      <c r="M32" s="70"/>
      <c r="N32" s="70"/>
      <c r="O32" s="70"/>
      <c r="P32" s="70"/>
      <c r="Q32" s="70"/>
      <c r="R32" s="70"/>
      <c r="S32" s="70"/>
      <c r="T32" s="70"/>
      <c r="U32" s="70"/>
      <c r="V32" s="70"/>
      <c r="W32" s="70"/>
    </row>
    <row r="33" spans="1:23" customFormat="1" ht="12.75" customHeight="1">
      <c r="A33" s="115" t="s">
        <v>315</v>
      </c>
      <c r="B33" s="115"/>
      <c r="C33" s="114"/>
      <c r="D33" s="115"/>
      <c r="E33" s="115"/>
      <c r="F33" s="115"/>
      <c r="G33" s="115"/>
      <c r="H33" s="115"/>
      <c r="I33" s="115"/>
      <c r="J33" s="115"/>
      <c r="K33" s="115"/>
      <c r="L33" s="115"/>
      <c r="M33" s="115"/>
      <c r="N33" s="115"/>
      <c r="O33" s="115"/>
      <c r="P33" s="115"/>
      <c r="Q33" s="115"/>
      <c r="R33" s="115"/>
      <c r="S33" s="115"/>
      <c r="T33" s="115"/>
      <c r="U33" s="115"/>
      <c r="V33" s="115"/>
      <c r="W33" s="115"/>
    </row>
    <row r="34" spans="1:23" ht="13.2"/>
    <row r="35" spans="1:23" s="129" customFormat="1" ht="13.2" outlineLevel="1">
      <c r="A35" s="66"/>
      <c r="B35" s="66" t="s">
        <v>382</v>
      </c>
      <c r="C35" s="73"/>
      <c r="D35" s="71"/>
      <c r="E35" s="74"/>
      <c r="F35" s="74"/>
      <c r="G35" s="74"/>
      <c r="H35" s="74"/>
      <c r="J35" s="74"/>
      <c r="K35" s="74"/>
      <c r="L35" s="74"/>
      <c r="M35" s="74"/>
      <c r="N35" s="74"/>
      <c r="O35" s="74"/>
      <c r="P35" s="74"/>
      <c r="Q35" s="74"/>
      <c r="R35" s="74"/>
      <c r="S35" s="74"/>
      <c r="T35" s="74"/>
      <c r="U35" s="74"/>
      <c r="V35" s="74"/>
      <c r="W35" s="74"/>
    </row>
    <row r="36" spans="1:23" s="129" customFormat="1" ht="13.2" outlineLevel="1">
      <c r="A36" s="66"/>
      <c r="B36" s="66"/>
      <c r="C36" s="73"/>
      <c r="D36" s="71"/>
      <c r="E36" s="74"/>
      <c r="F36" s="74"/>
      <c r="G36" s="74"/>
      <c r="H36" s="74"/>
      <c r="J36" s="74"/>
      <c r="K36" s="74"/>
      <c r="L36" s="74"/>
      <c r="M36" s="74"/>
      <c r="N36" s="74"/>
      <c r="O36" s="74"/>
      <c r="P36" s="74"/>
      <c r="Q36" s="74"/>
      <c r="R36" s="74"/>
      <c r="S36" s="74"/>
      <c r="T36" s="74"/>
      <c r="U36" s="74"/>
      <c r="V36" s="74"/>
      <c r="W36" s="74"/>
    </row>
    <row r="37" spans="1:23" s="129" customFormat="1" ht="13.2" outlineLevel="1">
      <c r="A37" s="66"/>
      <c r="B37" s="66"/>
      <c r="C37" s="73"/>
      <c r="D37" s="71"/>
      <c r="E37" s="128" t="str">
        <f t="shared" ref="E37:W37" si="6" xml:space="preserve"> E$14</f>
        <v>Allowed revenue - WW-TTT (base year 2019/2020)</v>
      </c>
      <c r="F37" s="128">
        <f t="shared" si="6"/>
        <v>0</v>
      </c>
      <c r="G37" s="128" t="str">
        <f t="shared" si="6"/>
        <v>£m</v>
      </c>
      <c r="H37" s="35">
        <f t="shared" si="6"/>
        <v>267.56421099914377</v>
      </c>
      <c r="I37" s="35">
        <f t="shared" si="6"/>
        <v>0</v>
      </c>
      <c r="J37" s="35">
        <f t="shared" si="6"/>
        <v>0</v>
      </c>
      <c r="K37" s="35">
        <f t="shared" si="6"/>
        <v>0</v>
      </c>
      <c r="L37" s="35">
        <f t="shared" si="6"/>
        <v>0</v>
      </c>
      <c r="M37" s="35">
        <f t="shared" si="6"/>
        <v>0</v>
      </c>
      <c r="N37" s="35">
        <f t="shared" si="6"/>
        <v>0</v>
      </c>
      <c r="O37" s="35">
        <f t="shared" si="6"/>
        <v>0</v>
      </c>
      <c r="P37" s="35">
        <f t="shared" si="6"/>
        <v>50.949001553020281</v>
      </c>
      <c r="Q37" s="35">
        <f t="shared" si="6"/>
        <v>53.594780855788365</v>
      </c>
      <c r="R37" s="35">
        <f t="shared" si="6"/>
        <v>57.540938534238698</v>
      </c>
      <c r="S37" s="35">
        <f t="shared" si="6"/>
        <v>56.314015442482919</v>
      </c>
      <c r="T37" s="35">
        <f t="shared" si="6"/>
        <v>49.165474613613512</v>
      </c>
      <c r="U37" s="35">
        <f t="shared" si="6"/>
        <v>0</v>
      </c>
      <c r="V37" s="35">
        <f t="shared" si="6"/>
        <v>0</v>
      </c>
      <c r="W37" s="35">
        <f t="shared" si="6"/>
        <v>0</v>
      </c>
    </row>
    <row r="38" spans="1:23" s="129" customFormat="1" ht="13.2" outlineLevel="1">
      <c r="A38" s="66"/>
      <c r="B38" s="66"/>
      <c r="C38" s="73"/>
      <c r="D38" s="71"/>
      <c r="E38" s="35" t="str">
        <f t="shared" ref="E38:W38" si="7" xml:space="preserve"> E$31</f>
        <v>Blind year adjustment inc. financing rate and inflation adjustment (BYA) - WW-TTT</v>
      </c>
      <c r="F38" s="35">
        <f t="shared" si="7"/>
        <v>0</v>
      </c>
      <c r="G38" s="35" t="str">
        <f t="shared" si="7"/>
        <v>£m</v>
      </c>
      <c r="H38" s="35">
        <f t="shared" si="7"/>
        <v>0</v>
      </c>
      <c r="I38" s="35">
        <f t="shared" si="7"/>
        <v>0</v>
      </c>
      <c r="J38" s="35">
        <f xml:space="preserve"> J$31</f>
        <v>0</v>
      </c>
      <c r="K38" s="35">
        <f t="shared" si="7"/>
        <v>0</v>
      </c>
      <c r="L38" s="35">
        <f t="shared" si="7"/>
        <v>0</v>
      </c>
      <c r="M38" s="35">
        <f t="shared" si="7"/>
        <v>0</v>
      </c>
      <c r="N38" s="35">
        <f t="shared" si="7"/>
        <v>0</v>
      </c>
      <c r="O38" s="35">
        <f t="shared" si="7"/>
        <v>0</v>
      </c>
      <c r="P38" s="35">
        <f t="shared" si="7"/>
        <v>0</v>
      </c>
      <c r="Q38" s="35">
        <f t="shared" si="7"/>
        <v>0</v>
      </c>
      <c r="R38" s="35">
        <f t="shared" si="7"/>
        <v>0</v>
      </c>
      <c r="S38" s="35">
        <f t="shared" si="7"/>
        <v>0</v>
      </c>
      <c r="T38" s="35">
        <f t="shared" si="7"/>
        <v>0</v>
      </c>
      <c r="U38" s="35">
        <f t="shared" si="7"/>
        <v>0</v>
      </c>
      <c r="V38" s="35">
        <f t="shared" si="7"/>
        <v>0</v>
      </c>
      <c r="W38" s="35">
        <f t="shared" si="7"/>
        <v>0</v>
      </c>
    </row>
    <row r="39" spans="1:23" s="129" customFormat="1" ht="13.2" outlineLevel="1">
      <c r="A39" s="166"/>
      <c r="B39" s="166"/>
      <c r="C39" s="167"/>
      <c r="D39" s="75"/>
      <c r="E39" s="65" t="str">
        <f t="shared" ref="E39:W39" si="8" xml:space="preserve"> E$108</f>
        <v>RFI - WW-TTT</v>
      </c>
      <c r="F39" s="65" t="str">
        <f xml:space="preserve"> F$108</f>
        <v>2 PD LK BCK</v>
      </c>
      <c r="G39" s="65" t="str">
        <f t="shared" si="8"/>
        <v>£m</v>
      </c>
      <c r="H39" s="65">
        <f t="shared" si="8"/>
        <v>5.4358300666862238</v>
      </c>
      <c r="I39" s="65">
        <f t="shared" si="8"/>
        <v>0</v>
      </c>
      <c r="J39" s="65">
        <f t="shared" si="8"/>
        <v>0</v>
      </c>
      <c r="K39" s="65">
        <f t="shared" si="8"/>
        <v>0</v>
      </c>
      <c r="L39" s="65">
        <f t="shared" si="8"/>
        <v>0</v>
      </c>
      <c r="M39" s="65">
        <f t="shared" si="8"/>
        <v>0</v>
      </c>
      <c r="N39" s="65">
        <f t="shared" si="8"/>
        <v>0</v>
      </c>
      <c r="O39" s="65">
        <f t="shared" si="8"/>
        <v>0</v>
      </c>
      <c r="P39" s="65">
        <f t="shared" si="8"/>
        <v>0</v>
      </c>
      <c r="Q39" s="65">
        <f t="shared" si="8"/>
        <v>0</v>
      </c>
      <c r="R39" s="65">
        <f t="shared" si="8"/>
        <v>2.5479076427842142</v>
      </c>
      <c r="S39" s="65">
        <f t="shared" si="8"/>
        <v>1.3305659056078085</v>
      </c>
      <c r="T39" s="65">
        <f t="shared" si="8"/>
        <v>1.5573565182942013</v>
      </c>
      <c r="U39" s="65">
        <f t="shared" si="8"/>
        <v>0</v>
      </c>
      <c r="V39" s="65">
        <f t="shared" si="8"/>
        <v>0</v>
      </c>
      <c r="W39" s="65">
        <f t="shared" si="8"/>
        <v>0</v>
      </c>
    </row>
    <row r="40" spans="1:23" s="153" customFormat="1" ht="13.8" outlineLevel="1" thickBot="1">
      <c r="A40" s="82"/>
      <c r="B40" s="82"/>
      <c r="C40" s="180"/>
      <c r="D40" s="181"/>
      <c r="E40" s="216" t="s">
        <v>409</v>
      </c>
      <c r="F40" s="216"/>
      <c r="G40" s="216" t="s">
        <v>97</v>
      </c>
      <c r="H40" s="217">
        <f xml:space="preserve"> SUM(J40:W40)</f>
        <v>273.00004106583003</v>
      </c>
      <c r="I40" s="217"/>
      <c r="J40" s="218">
        <f xml:space="preserve"> SUM(J37:J39)</f>
        <v>0</v>
      </c>
      <c r="K40" s="218">
        <f xml:space="preserve"> SUM(K37:K39)</f>
        <v>0</v>
      </c>
      <c r="L40" s="218">
        <f t="shared" ref="L40:W40" si="9" xml:space="preserve"> SUM(L37:L39)</f>
        <v>0</v>
      </c>
      <c r="M40" s="218">
        <f t="shared" si="9"/>
        <v>0</v>
      </c>
      <c r="N40" s="218">
        <f t="shared" si="9"/>
        <v>0</v>
      </c>
      <c r="O40" s="218">
        <f t="shared" si="9"/>
        <v>0</v>
      </c>
      <c r="P40" s="218">
        <f t="shared" si="9"/>
        <v>50.949001553020281</v>
      </c>
      <c r="Q40" s="218">
        <f t="shared" si="9"/>
        <v>53.594780855788365</v>
      </c>
      <c r="R40" s="218">
        <f t="shared" si="9"/>
        <v>60.088846177022916</v>
      </c>
      <c r="S40" s="218">
        <f t="shared" si="9"/>
        <v>57.644581348090725</v>
      </c>
      <c r="T40" s="218">
        <f t="shared" si="9"/>
        <v>50.722831131907711</v>
      </c>
      <c r="U40" s="218">
        <f t="shared" si="9"/>
        <v>0</v>
      </c>
      <c r="V40" s="218">
        <f t="shared" si="9"/>
        <v>0</v>
      </c>
      <c r="W40" s="218">
        <f t="shared" si="9"/>
        <v>0</v>
      </c>
    </row>
    <row r="41" spans="1:23" ht="13.8" outlineLevel="1" thickTop="1"/>
    <row r="42" spans="1:23" ht="13.2" outlineLevel="1">
      <c r="E42" s="128" t="str">
        <f t="shared" ref="E42:W42" si="10" xml:space="preserve"> E$40</f>
        <v>Adjusted allowed revenue - WW-TTT</v>
      </c>
      <c r="F42" s="128">
        <f t="shared" si="10"/>
        <v>0</v>
      </c>
      <c r="G42" s="128" t="str">
        <f t="shared" si="10"/>
        <v>£m</v>
      </c>
      <c r="H42" s="128">
        <f t="shared" si="10"/>
        <v>273.00004106583003</v>
      </c>
      <c r="I42" s="128">
        <f t="shared" si="10"/>
        <v>0</v>
      </c>
      <c r="J42" s="128">
        <f t="shared" si="10"/>
        <v>0</v>
      </c>
      <c r="K42" s="128">
        <f t="shared" si="10"/>
        <v>0</v>
      </c>
      <c r="L42" s="128">
        <f t="shared" si="10"/>
        <v>0</v>
      </c>
      <c r="M42" s="128">
        <f t="shared" si="10"/>
        <v>0</v>
      </c>
      <c r="N42" s="128">
        <f t="shared" si="10"/>
        <v>0</v>
      </c>
      <c r="O42" s="128">
        <f t="shared" si="10"/>
        <v>0</v>
      </c>
      <c r="P42" s="35">
        <f t="shared" si="10"/>
        <v>50.949001553020281</v>
      </c>
      <c r="Q42" s="35">
        <f t="shared" si="10"/>
        <v>53.594780855788365</v>
      </c>
      <c r="R42" s="35">
        <f t="shared" si="10"/>
        <v>60.088846177022916</v>
      </c>
      <c r="S42" s="35">
        <f t="shared" si="10"/>
        <v>57.644581348090725</v>
      </c>
      <c r="T42" s="35">
        <f t="shared" si="10"/>
        <v>50.722831131907711</v>
      </c>
      <c r="U42" s="128">
        <f t="shared" si="10"/>
        <v>0</v>
      </c>
      <c r="V42" s="128">
        <f t="shared" si="10"/>
        <v>0</v>
      </c>
      <c r="W42" s="128">
        <f t="shared" si="10"/>
        <v>0</v>
      </c>
    </row>
    <row r="43" spans="1:23" ht="13.2" outlineLevel="1">
      <c r="A43" s="63"/>
      <c r="C43" s="110"/>
      <c r="D43" s="61" t="s">
        <v>318</v>
      </c>
      <c r="E43" s="96" t="str">
        <f xml:space="preserve"> Inputs!E$137</f>
        <v xml:space="preserve">Actual Revenue  - WW-TTT </v>
      </c>
      <c r="F43" s="96">
        <f xml:space="preserve"> Inputs!F$137</f>
        <v>0</v>
      </c>
      <c r="G43" s="96" t="str">
        <f xml:space="preserve"> Inputs!G$137</f>
        <v>£m</v>
      </c>
      <c r="H43" s="96">
        <f xml:space="preserve"> Inputs!H$137</f>
        <v>216.65199999999999</v>
      </c>
      <c r="I43" s="96">
        <f xml:space="preserve"> Inputs!I$137</f>
        <v>0</v>
      </c>
      <c r="J43" s="96">
        <f xml:space="preserve"> Inputs!J$137</f>
        <v>0</v>
      </c>
      <c r="K43" s="96">
        <f xml:space="preserve"> Inputs!K$137</f>
        <v>0</v>
      </c>
      <c r="L43" s="96">
        <f xml:space="preserve"> Inputs!L$137</f>
        <v>0</v>
      </c>
      <c r="M43" s="96">
        <f xml:space="preserve"> Inputs!M$137</f>
        <v>0</v>
      </c>
      <c r="N43" s="96">
        <f xml:space="preserve"> Inputs!N$137</f>
        <v>0</v>
      </c>
      <c r="O43" s="96">
        <f xml:space="preserve"> Inputs!O$137</f>
        <v>0</v>
      </c>
      <c r="P43" s="96">
        <f xml:space="preserve"> Inputs!P$137</f>
        <v>48.593000000000004</v>
      </c>
      <c r="Q43" s="96">
        <f xml:space="preserve"> Inputs!Q$137</f>
        <v>52.494999999999997</v>
      </c>
      <c r="R43" s="96">
        <f xml:space="preserve"> Inputs!R$137</f>
        <v>58.792999999999999</v>
      </c>
      <c r="S43" s="96">
        <f xml:space="preserve"> Inputs!S$137</f>
        <v>56.771000000000001</v>
      </c>
      <c r="T43" s="96">
        <f xml:space="preserve"> Inputs!T$137</f>
        <v>0</v>
      </c>
      <c r="U43" s="96">
        <f xml:space="preserve"> Inputs!U$137</f>
        <v>0</v>
      </c>
      <c r="V43" s="96">
        <f xml:space="preserve"> Inputs!V$137</f>
        <v>0</v>
      </c>
      <c r="W43" s="96">
        <f xml:space="preserve"> Inputs!W$137</f>
        <v>0</v>
      </c>
    </row>
    <row r="44" spans="1:23" s="155" customFormat="1" ht="13.8" outlineLevel="1" thickBot="1">
      <c r="A44" s="168"/>
      <c r="B44" s="168"/>
      <c r="C44" s="162"/>
      <c r="D44" s="163"/>
      <c r="E44" s="220" t="s">
        <v>410</v>
      </c>
      <c r="F44" s="216"/>
      <c r="G44" s="216" t="s">
        <v>97</v>
      </c>
      <c r="H44" s="218">
        <f xml:space="preserve"> SUM(J44:W44)</f>
        <v>56.348041065829996</v>
      </c>
      <c r="I44" s="222"/>
      <c r="J44" s="221">
        <f>J42-J43</f>
        <v>0</v>
      </c>
      <c r="K44" s="221">
        <f t="shared" ref="K44:W44" si="11">K42-K43</f>
        <v>0</v>
      </c>
      <c r="L44" s="221">
        <f t="shared" si="11"/>
        <v>0</v>
      </c>
      <c r="M44" s="221">
        <f t="shared" si="11"/>
        <v>0</v>
      </c>
      <c r="N44" s="221">
        <f t="shared" si="11"/>
        <v>0</v>
      </c>
      <c r="O44" s="221">
        <f t="shared" si="11"/>
        <v>0</v>
      </c>
      <c r="P44" s="221">
        <f t="shared" si="11"/>
        <v>2.3560015530202776</v>
      </c>
      <c r="Q44" s="221">
        <f t="shared" si="11"/>
        <v>1.0997808557883673</v>
      </c>
      <c r="R44" s="221">
        <f t="shared" si="11"/>
        <v>1.2958461770229164</v>
      </c>
      <c r="S44" s="221">
        <f t="shared" si="11"/>
        <v>0.87358134809072396</v>
      </c>
      <c r="T44" s="221">
        <f t="shared" si="11"/>
        <v>50.722831131907711</v>
      </c>
      <c r="U44" s="221">
        <f t="shared" si="11"/>
        <v>0</v>
      </c>
      <c r="V44" s="221">
        <f t="shared" si="11"/>
        <v>0</v>
      </c>
      <c r="W44" s="221">
        <f t="shared" si="11"/>
        <v>0</v>
      </c>
    </row>
    <row r="45" spans="1:23" ht="13.8" outlineLevel="1" thickTop="1">
      <c r="A45" s="63"/>
      <c r="C45" s="110"/>
      <c r="E45" s="74"/>
      <c r="J45" s="38"/>
      <c r="K45" s="38"/>
      <c r="L45" s="38"/>
      <c r="M45" s="38"/>
      <c r="N45" s="38"/>
      <c r="O45" s="38"/>
      <c r="P45" s="38"/>
      <c r="Q45" s="38"/>
      <c r="R45" s="38"/>
      <c r="S45" s="38"/>
      <c r="T45" s="38"/>
      <c r="U45" s="38"/>
      <c r="V45" s="38"/>
      <c r="W45" s="38"/>
    </row>
    <row r="46" spans="1:23" ht="13.2" outlineLevel="1">
      <c r="A46" s="63"/>
      <c r="B46" s="63" t="s">
        <v>385</v>
      </c>
      <c r="C46" s="110"/>
      <c r="E46" s="74"/>
      <c r="V46" s="57"/>
      <c r="W46" s="57"/>
    </row>
    <row r="47" spans="1:23" ht="13.2" outlineLevel="1">
      <c r="A47" s="63"/>
      <c r="C47" s="110"/>
      <c r="E47" s="74"/>
      <c r="V47" s="57"/>
      <c r="W47" s="57"/>
    </row>
    <row r="48" spans="1:23" ht="13.2" outlineLevel="1">
      <c r="A48"/>
      <c r="B48"/>
      <c r="C48"/>
      <c r="D48"/>
      <c r="E48" s="113" t="str">
        <f xml:space="preserve"> Inputs!E$69</f>
        <v>Timing delay</v>
      </c>
      <c r="F48" s="113">
        <f xml:space="preserve"> Inputs!F$69</f>
        <v>2</v>
      </c>
      <c r="G48" s="113" t="str">
        <f xml:space="preserve"> Inputs!G$69</f>
        <v>years</v>
      </c>
      <c r="H48" s="113">
        <f xml:space="preserve"> Inputs!H$69</f>
        <v>0</v>
      </c>
      <c r="I48" s="113">
        <f xml:space="preserve"> Inputs!I$69</f>
        <v>0</v>
      </c>
      <c r="J48" s="113">
        <f xml:space="preserve"> Inputs!J$69</f>
        <v>0</v>
      </c>
      <c r="K48" s="113">
        <f xml:space="preserve"> Inputs!K$69</f>
        <v>0</v>
      </c>
      <c r="L48" s="113">
        <f xml:space="preserve"> Inputs!L$69</f>
        <v>0</v>
      </c>
      <c r="M48" s="113">
        <f xml:space="preserve"> Inputs!M$69</f>
        <v>0</v>
      </c>
      <c r="N48" s="113">
        <f xml:space="preserve"> Inputs!N$69</f>
        <v>0</v>
      </c>
      <c r="O48" s="113">
        <f xml:space="preserve"> Inputs!O$69</f>
        <v>0</v>
      </c>
      <c r="P48" s="113">
        <f xml:space="preserve"> Inputs!P$69</f>
        <v>0</v>
      </c>
      <c r="Q48" s="113">
        <f xml:space="preserve"> Inputs!Q$69</f>
        <v>0</v>
      </c>
      <c r="R48" s="113">
        <f xml:space="preserve"> Inputs!R$69</f>
        <v>0</v>
      </c>
      <c r="S48" s="113">
        <f xml:space="preserve"> Inputs!S$69</f>
        <v>0</v>
      </c>
      <c r="T48" s="113">
        <f xml:space="preserve"> Inputs!T$69</f>
        <v>0</v>
      </c>
      <c r="U48" s="113">
        <f xml:space="preserve"> Inputs!U$69</f>
        <v>0</v>
      </c>
      <c r="V48" s="113">
        <f xml:space="preserve"> Inputs!V$69</f>
        <v>0</v>
      </c>
      <c r="W48" s="113">
        <f xml:space="preserve"> Inputs!W$69</f>
        <v>0</v>
      </c>
    </row>
    <row r="49" spans="1:23" ht="13.2" outlineLevel="1">
      <c r="B49" s="64"/>
      <c r="D49" s="159"/>
      <c r="E49" s="43" t="str">
        <f xml:space="preserve"> Inputs!E$63</f>
        <v>Discount rate</v>
      </c>
      <c r="F49" s="43">
        <f xml:space="preserve"> Inputs!F$63</f>
        <v>2.92E-2</v>
      </c>
      <c r="G49" s="43" t="str">
        <f xml:space="preserve"> Inputs!G$63</f>
        <v>%</v>
      </c>
      <c r="H49" s="43">
        <f xml:space="preserve"> Inputs!H$63</f>
        <v>0</v>
      </c>
      <c r="I49" s="43">
        <f xml:space="preserve"> Inputs!I$63</f>
        <v>0</v>
      </c>
      <c r="J49" s="43">
        <f xml:space="preserve"> Inputs!J$63</f>
        <v>0</v>
      </c>
      <c r="K49" s="43">
        <f xml:space="preserve"> Inputs!K$63</f>
        <v>0</v>
      </c>
      <c r="L49" s="43">
        <f xml:space="preserve"> Inputs!L$63</f>
        <v>0</v>
      </c>
      <c r="M49" s="43">
        <f xml:space="preserve"> Inputs!M$63</f>
        <v>0</v>
      </c>
      <c r="N49" s="43">
        <f xml:space="preserve"> Inputs!N$63</f>
        <v>0</v>
      </c>
      <c r="O49" s="43">
        <f xml:space="preserve"> Inputs!O$63</f>
        <v>0</v>
      </c>
      <c r="P49" s="43">
        <f xml:space="preserve"> Inputs!P$63</f>
        <v>0</v>
      </c>
      <c r="Q49" s="43">
        <f xml:space="preserve"> Inputs!Q$63</f>
        <v>0</v>
      </c>
      <c r="R49" s="43">
        <f xml:space="preserve"> Inputs!R$63</f>
        <v>0</v>
      </c>
      <c r="S49" s="43">
        <f xml:space="preserve"> Inputs!S$63</f>
        <v>0</v>
      </c>
      <c r="T49" s="43">
        <f xml:space="preserve"> Inputs!T$63</f>
        <v>0</v>
      </c>
      <c r="U49" s="43">
        <f xml:space="preserve"> Inputs!U$63</f>
        <v>0</v>
      </c>
      <c r="V49" s="43">
        <f xml:space="preserve"> Inputs!V$63</f>
        <v>0</v>
      </c>
      <c r="W49" s="43">
        <f xml:space="preserve"> Inputs!W$63</f>
        <v>0</v>
      </c>
    </row>
    <row r="50" spans="1:23" s="172" customFormat="1" ht="13.2" outlineLevel="1">
      <c r="A50" s="126"/>
      <c r="B50" s="126"/>
      <c r="C50" s="127"/>
      <c r="D50" s="128"/>
      <c r="E50" s="206" t="str">
        <f>E$44</f>
        <v>Revenue Imbalance  - WW-TTT</v>
      </c>
      <c r="F50" s="206">
        <f t="shared" ref="F50:W50" si="12">F$44</f>
        <v>0</v>
      </c>
      <c r="G50" s="206" t="str">
        <f t="shared" si="12"/>
        <v>£m</v>
      </c>
      <c r="H50" s="206">
        <f t="shared" si="12"/>
        <v>56.348041065829996</v>
      </c>
      <c r="I50" s="206">
        <f t="shared" si="12"/>
        <v>0</v>
      </c>
      <c r="J50" s="206">
        <f>J$44</f>
        <v>0</v>
      </c>
      <c r="K50" s="206">
        <f t="shared" si="12"/>
        <v>0</v>
      </c>
      <c r="L50" s="206">
        <f t="shared" si="12"/>
        <v>0</v>
      </c>
      <c r="M50" s="206">
        <f t="shared" si="12"/>
        <v>0</v>
      </c>
      <c r="N50" s="206">
        <f t="shared" si="12"/>
        <v>0</v>
      </c>
      <c r="O50" s="206">
        <f t="shared" si="12"/>
        <v>0</v>
      </c>
      <c r="P50" s="206">
        <f t="shared" si="12"/>
        <v>2.3560015530202776</v>
      </c>
      <c r="Q50" s="206">
        <f>Q$44</f>
        <v>1.0997808557883673</v>
      </c>
      <c r="R50" s="206">
        <f t="shared" si="12"/>
        <v>1.2958461770229164</v>
      </c>
      <c r="S50" s="206">
        <f t="shared" si="12"/>
        <v>0.87358134809072396</v>
      </c>
      <c r="T50" s="206">
        <f t="shared" si="12"/>
        <v>50.722831131907711</v>
      </c>
      <c r="U50" s="206">
        <f t="shared" si="12"/>
        <v>0</v>
      </c>
      <c r="V50" s="206">
        <f t="shared" si="12"/>
        <v>0</v>
      </c>
      <c r="W50" s="206">
        <f t="shared" si="12"/>
        <v>0</v>
      </c>
    </row>
    <row r="51" spans="1:23" s="172" customFormat="1" ht="13.2" outlineLevel="1">
      <c r="A51" s="125"/>
      <c r="B51" s="126"/>
      <c r="C51" s="127"/>
      <c r="D51" s="128"/>
      <c r="E51" s="98" t="str">
        <f xml:space="preserve"> Time!E$63</f>
        <v>Forecast period counter</v>
      </c>
      <c r="F51" s="98">
        <f xml:space="preserve"> Time!F$63</f>
        <v>0</v>
      </c>
      <c r="G51" s="98" t="str">
        <f xml:space="preserve"> Time!G$63</f>
        <v>counter</v>
      </c>
      <c r="H51" s="98">
        <f xml:space="preserve"> Time!H$63</f>
        <v>0</v>
      </c>
      <c r="I51" s="98">
        <f xml:space="preserve"> Time!I$63</f>
        <v>0</v>
      </c>
      <c r="J51" s="98">
        <f xml:space="preserve"> Time!J$63</f>
        <v>0</v>
      </c>
      <c r="K51" s="98">
        <f xml:space="preserve"> Time!K$63</f>
        <v>0</v>
      </c>
      <c r="L51" s="98">
        <f xml:space="preserve"> Time!L$63</f>
        <v>0</v>
      </c>
      <c r="M51" s="98">
        <f xml:space="preserve"> Time!M$63</f>
        <v>0</v>
      </c>
      <c r="N51" s="98">
        <f xml:space="preserve"> Time!N$63</f>
        <v>0</v>
      </c>
      <c r="O51" s="98">
        <f xml:space="preserve"> Time!O$63</f>
        <v>0</v>
      </c>
      <c r="P51" s="98">
        <f xml:space="preserve"> Time!P$63</f>
        <v>1</v>
      </c>
      <c r="Q51" s="98">
        <f xml:space="preserve"> Time!Q$63</f>
        <v>2</v>
      </c>
      <c r="R51" s="98">
        <f xml:space="preserve"> Time!R$63</f>
        <v>3</v>
      </c>
      <c r="S51" s="98">
        <f xml:space="preserve"> Time!S$63</f>
        <v>4</v>
      </c>
      <c r="T51" s="98">
        <f xml:space="preserve"> Time!T$63</f>
        <v>5</v>
      </c>
      <c r="U51" s="98">
        <f xml:space="preserve"> Time!U$63</f>
        <v>0</v>
      </c>
      <c r="V51" s="98">
        <f xml:space="preserve"> Time!V$63</f>
        <v>0</v>
      </c>
      <c r="W51" s="98">
        <f xml:space="preserve"> Time!W$63</f>
        <v>0</v>
      </c>
    </row>
    <row r="52" spans="1:23" ht="13.2" outlineLevel="1">
      <c r="A52" s="63"/>
      <c r="E52" s="74" t="s">
        <v>411</v>
      </c>
      <c r="G52" s="57" t="s">
        <v>97</v>
      </c>
      <c r="H52" s="94">
        <f xml:space="preserve"> SUM(J52:W52)</f>
        <v>5.0331751238415467</v>
      </c>
      <c r="J52" s="94">
        <f xml:space="preserve"> IF( J51 &lt;= $F$48 + 1,  J50 * (1 + $F49) * (1 + $F49), 0 )</f>
        <v>0</v>
      </c>
      <c r="K52" s="94">
        <f t="shared" ref="K52:W52" si="13" xml:space="preserve"> IF( K51 &lt;= $F$48 + 1,  K50 * (1 + $F49) * (1 + $F49), 0 )</f>
        <v>0</v>
      </c>
      <c r="L52" s="94">
        <f t="shared" si="13"/>
        <v>0</v>
      </c>
      <c r="M52" s="94">
        <f t="shared" si="13"/>
        <v>0</v>
      </c>
      <c r="N52" s="94">
        <f t="shared" si="13"/>
        <v>0</v>
      </c>
      <c r="O52" s="94">
        <f t="shared" si="13"/>
        <v>0</v>
      </c>
      <c r="P52" s="94">
        <f t="shared" si="13"/>
        <v>2.4956008648808283</v>
      </c>
      <c r="Q52" s="94">
        <f t="shared" si="13"/>
        <v>1.1649457749152869</v>
      </c>
      <c r="R52" s="94">
        <f t="shared" si="13"/>
        <v>1.3726284840454313</v>
      </c>
      <c r="S52" s="94">
        <f t="shared" si="13"/>
        <v>0</v>
      </c>
      <c r="T52" s="94">
        <f t="shared" si="13"/>
        <v>0</v>
      </c>
      <c r="U52" s="94">
        <f t="shared" si="13"/>
        <v>0</v>
      </c>
      <c r="V52" s="94">
        <f t="shared" si="13"/>
        <v>0</v>
      </c>
      <c r="W52" s="94">
        <f t="shared" si="13"/>
        <v>0</v>
      </c>
    </row>
    <row r="53" spans="1:23" ht="13.2" outlineLevel="1">
      <c r="A53" s="63"/>
      <c r="C53" s="110"/>
      <c r="E53" s="74"/>
      <c r="V53" s="57"/>
      <c r="W53" s="57"/>
    </row>
    <row r="54" spans="1:23" ht="13.2" outlineLevel="1">
      <c r="B54" s="64"/>
      <c r="D54" s="159"/>
      <c r="E54" s="36" t="str">
        <f xml:space="preserve"> 'Indices and K factor'!E$11</f>
        <v>CPIH: Nov % increase (prior year) - CALC</v>
      </c>
      <c r="F54" s="36">
        <f xml:space="preserve"> 'Indices and K factor'!F$11</f>
        <v>0</v>
      </c>
      <c r="G54" s="36" t="str">
        <f xml:space="preserve"> 'Indices and K factor'!G$11</f>
        <v>%</v>
      </c>
      <c r="H54" s="36">
        <f xml:space="preserve"> 'Indices and K factor'!H$11</f>
        <v>0</v>
      </c>
      <c r="I54" s="36">
        <f xml:space="preserve"> 'Indices and K factor'!I$11</f>
        <v>0</v>
      </c>
      <c r="J54" s="36">
        <f xml:space="preserve"> 'Indices and K factor'!J$11</f>
        <v>0</v>
      </c>
      <c r="K54" s="36">
        <f xml:space="preserve"> 'Indices and K factor'!K$11</f>
        <v>0</v>
      </c>
      <c r="L54" s="36">
        <f xml:space="preserve"> 'Indices and K factor'!L$11</f>
        <v>1.0040040040040039</v>
      </c>
      <c r="M54" s="36">
        <f xml:space="preserve"> 'Indices and K factor'!M$11</f>
        <v>1.0149551345962113</v>
      </c>
      <c r="N54" s="36">
        <f xml:space="preserve"> 'Indices and K factor'!N$11</f>
        <v>1.0284872298624754</v>
      </c>
      <c r="O54" s="36">
        <f xml:space="preserve"> 'Indices and K factor'!O$11</f>
        <v>1.0210124164278893</v>
      </c>
      <c r="P54" s="36">
        <f xml:space="preserve"> 'Indices and K factor'!P$11</f>
        <v>1.0149672591206735</v>
      </c>
      <c r="Q54" s="36">
        <f xml:space="preserve"> 'Indices and K factor'!Q$11</f>
        <v>1.0055299539170506</v>
      </c>
      <c r="R54" s="36">
        <f xml:space="preserve"> 'Indices and K factor'!R$11</f>
        <v>1.0458295142071494</v>
      </c>
      <c r="S54" s="36">
        <f xml:space="preserve"> 'Indices and K factor'!S$11</f>
        <v>1.0937773882559159</v>
      </c>
      <c r="T54" s="36">
        <f xml:space="preserve"> 'Indices and K factor'!T$11</f>
        <v>1.042059294871795</v>
      </c>
      <c r="U54" s="36">
        <f xml:space="preserve"> 'Indices and K factor'!U$11</f>
        <v>1.0312779542070039</v>
      </c>
      <c r="V54" s="36">
        <f xml:space="preserve"> 'Indices and K factor'!V$11</f>
        <v>1.02</v>
      </c>
      <c r="W54" s="36">
        <f xml:space="preserve"> 'Indices and K factor'!W$11</f>
        <v>1.02</v>
      </c>
    </row>
    <row r="55" spans="1:23" ht="13.2" outlineLevel="1">
      <c r="B55" s="64"/>
      <c r="D55" s="159"/>
      <c r="E55" s="35" t="str">
        <f xml:space="preserve"> E$52</f>
        <v>Main revenue adjustment - with financing adjustment - WW-TTT</v>
      </c>
      <c r="F55" s="35">
        <f xml:space="preserve"> F$52</f>
        <v>0</v>
      </c>
      <c r="G55" s="35" t="str">
        <f xml:space="preserve"> G$52</f>
        <v>£m</v>
      </c>
      <c r="H55" s="35">
        <f xml:space="preserve"> H$52</f>
        <v>5.0331751238415467</v>
      </c>
      <c r="I55" s="35">
        <f xml:space="preserve"> I$52</f>
        <v>0</v>
      </c>
      <c r="J55" s="35">
        <f t="shared" ref="J55:W55" si="14" xml:space="preserve"> J$52</f>
        <v>0</v>
      </c>
      <c r="K55" s="35">
        <f t="shared" si="14"/>
        <v>0</v>
      </c>
      <c r="L55" s="35">
        <f t="shared" si="14"/>
        <v>0</v>
      </c>
      <c r="M55" s="35">
        <f t="shared" si="14"/>
        <v>0</v>
      </c>
      <c r="N55" s="35">
        <f t="shared" si="14"/>
        <v>0</v>
      </c>
      <c r="O55" s="35">
        <f t="shared" si="14"/>
        <v>0</v>
      </c>
      <c r="P55" s="35">
        <f t="shared" si="14"/>
        <v>2.4956008648808283</v>
      </c>
      <c r="Q55" s="35">
        <f t="shared" si="14"/>
        <v>1.1649457749152869</v>
      </c>
      <c r="R55" s="35">
        <f t="shared" si="14"/>
        <v>1.3726284840454313</v>
      </c>
      <c r="S55" s="35">
        <f t="shared" si="14"/>
        <v>0</v>
      </c>
      <c r="T55" s="35">
        <f t="shared" si="14"/>
        <v>0</v>
      </c>
      <c r="U55" s="35">
        <f t="shared" si="14"/>
        <v>0</v>
      </c>
      <c r="V55" s="35">
        <f t="shared" si="14"/>
        <v>0</v>
      </c>
      <c r="W55" s="35">
        <f t="shared" si="14"/>
        <v>0</v>
      </c>
    </row>
    <row r="56" spans="1:23" ht="13.8" outlineLevel="1" thickBot="1">
      <c r="B56" s="64"/>
      <c r="D56" s="159"/>
      <c r="E56" s="220" t="s">
        <v>412</v>
      </c>
      <c r="F56" s="216"/>
      <c r="G56" s="216" t="s">
        <v>97</v>
      </c>
      <c r="H56" s="218">
        <f xml:space="preserve"> SUM(J56:W56)</f>
        <v>5.5214887090136546</v>
      </c>
      <c r="I56" s="222"/>
      <c r="J56" s="221">
        <f t="shared" ref="J56:T56" si="15" xml:space="preserve"> J55 * K54 * L54</f>
        <v>0</v>
      </c>
      <c r="K56" s="221">
        <f t="shared" si="15"/>
        <v>0</v>
      </c>
      <c r="L56" s="221">
        <f t="shared" si="15"/>
        <v>0</v>
      </c>
      <c r="M56" s="221">
        <f xml:space="preserve"> M55 * N54 * O54</f>
        <v>0</v>
      </c>
      <c r="N56" s="221">
        <f t="shared" si="15"/>
        <v>0</v>
      </c>
      <c r="O56" s="221">
        <f t="shared" si="15"/>
        <v>0</v>
      </c>
      <c r="P56" s="221">
        <f xml:space="preserve"> P55 * Q54 * R54</f>
        <v>2.6244060708101613</v>
      </c>
      <c r="Q56" s="221">
        <f xml:space="preserve"> Q55 * R54 * S54</f>
        <v>1.3325869175932887</v>
      </c>
      <c r="R56" s="221">
        <f t="shared" si="15"/>
        <v>1.5644957206102044</v>
      </c>
      <c r="S56" s="221">
        <f t="shared" si="15"/>
        <v>0</v>
      </c>
      <c r="T56" s="221">
        <f t="shared" si="15"/>
        <v>0</v>
      </c>
      <c r="U56" s="221">
        <f xml:space="preserve"> U55 * V54 * W54</f>
        <v>0</v>
      </c>
      <c r="V56" s="461"/>
      <c r="W56" s="461"/>
    </row>
    <row r="57" spans="1:23" ht="13.8" outlineLevel="1" thickTop="1">
      <c r="B57" s="64"/>
      <c r="D57" s="159"/>
      <c r="E57" s="144"/>
      <c r="V57" s="57"/>
      <c r="W57" s="57"/>
    </row>
    <row r="58" spans="1:23" customFormat="1" ht="12.75" customHeight="1">
      <c r="A58" s="115" t="s">
        <v>334</v>
      </c>
      <c r="B58" s="115"/>
      <c r="C58" s="114"/>
      <c r="D58" s="115"/>
      <c r="E58" s="115"/>
      <c r="F58" s="115"/>
      <c r="G58" s="115"/>
      <c r="H58" s="115"/>
      <c r="I58" s="115"/>
      <c r="J58" s="115"/>
      <c r="K58" s="115"/>
      <c r="L58" s="115"/>
      <c r="M58" s="115"/>
      <c r="N58" s="115"/>
      <c r="O58" s="115"/>
      <c r="P58" s="115"/>
      <c r="Q58" s="115"/>
      <c r="R58" s="115"/>
      <c r="S58" s="115"/>
      <c r="T58" s="115"/>
      <c r="U58" s="115"/>
      <c r="V58" s="115"/>
      <c r="W58" s="115"/>
    </row>
    <row r="59" spans="1:23" ht="13.2">
      <c r="A59" s="63"/>
      <c r="C59" s="110"/>
      <c r="E59" s="74"/>
      <c r="J59" s="38"/>
      <c r="K59" s="38"/>
      <c r="L59" s="38"/>
      <c r="M59" s="38"/>
      <c r="N59" s="38"/>
      <c r="O59" s="38"/>
      <c r="P59" s="38"/>
      <c r="Q59" s="38"/>
      <c r="R59" s="38"/>
      <c r="S59" s="38"/>
      <c r="T59" s="38"/>
      <c r="U59" s="38"/>
      <c r="V59" s="38"/>
      <c r="W59" s="38"/>
    </row>
    <row r="60" spans="1:23" ht="13.2" outlineLevel="1">
      <c r="A60" s="63"/>
      <c r="B60" s="63" t="s">
        <v>335</v>
      </c>
      <c r="C60" s="110"/>
      <c r="E60" s="130"/>
      <c r="V60" s="57"/>
      <c r="W60" s="57"/>
    </row>
    <row r="61" spans="1:23" ht="13.2" outlineLevel="1">
      <c r="A61" s="63"/>
      <c r="C61" s="110"/>
      <c r="E61" s="130"/>
      <c r="V61" s="57"/>
      <c r="W61" s="57"/>
    </row>
    <row r="62" spans="1:23" ht="13.2" outlineLevel="1">
      <c r="B62" s="64"/>
      <c r="D62" s="159"/>
      <c r="E62" s="93" t="str">
        <f xml:space="preserve"> E$44</f>
        <v>Revenue Imbalance  - WW-TTT</v>
      </c>
      <c r="F62" s="93">
        <f t="shared" ref="F62:W62" si="16" xml:space="preserve"> F$44</f>
        <v>0</v>
      </c>
      <c r="G62" s="93" t="str">
        <f t="shared" si="16"/>
        <v>£m</v>
      </c>
      <c r="H62" s="93">
        <f t="shared" si="16"/>
        <v>56.348041065829996</v>
      </c>
      <c r="I62" s="93">
        <f t="shared" si="16"/>
        <v>0</v>
      </c>
      <c r="J62" s="93">
        <f t="shared" si="16"/>
        <v>0</v>
      </c>
      <c r="K62" s="93">
        <f t="shared" si="16"/>
        <v>0</v>
      </c>
      <c r="L62" s="93">
        <f t="shared" si="16"/>
        <v>0</v>
      </c>
      <c r="M62" s="93">
        <f t="shared" si="16"/>
        <v>0</v>
      </c>
      <c r="N62" s="93">
        <f t="shared" si="16"/>
        <v>0</v>
      </c>
      <c r="O62" s="93">
        <f t="shared" si="16"/>
        <v>0</v>
      </c>
      <c r="P62" s="93">
        <f t="shared" si="16"/>
        <v>2.3560015530202776</v>
      </c>
      <c r="Q62" s="93">
        <f t="shared" si="16"/>
        <v>1.0997808557883673</v>
      </c>
      <c r="R62" s="93">
        <f t="shared" si="16"/>
        <v>1.2958461770229164</v>
      </c>
      <c r="S62" s="93">
        <f t="shared" si="16"/>
        <v>0.87358134809072396</v>
      </c>
      <c r="T62" s="93">
        <f t="shared" si="16"/>
        <v>50.722831131907711</v>
      </c>
      <c r="U62" s="93">
        <f t="shared" si="16"/>
        <v>0</v>
      </c>
      <c r="V62" s="93">
        <f t="shared" si="16"/>
        <v>0</v>
      </c>
      <c r="W62" s="93">
        <f t="shared" si="16"/>
        <v>0</v>
      </c>
    </row>
    <row r="63" spans="1:23" s="129" customFormat="1" ht="13.2" outlineLevel="1">
      <c r="A63" s="166"/>
      <c r="B63" s="166"/>
      <c r="C63" s="167"/>
      <c r="D63" s="75"/>
      <c r="E63" s="205" t="str">
        <f xml:space="preserve"> E$40</f>
        <v>Adjusted allowed revenue - WW-TTT</v>
      </c>
      <c r="F63" s="205">
        <f t="shared" ref="F63:W63" si="17" xml:space="preserve"> F$40</f>
        <v>0</v>
      </c>
      <c r="G63" s="205" t="str">
        <f t="shared" si="17"/>
        <v>£m</v>
      </c>
      <c r="H63" s="44">
        <f t="shared" si="17"/>
        <v>273.00004106583003</v>
      </c>
      <c r="I63" s="44">
        <f t="shared" si="17"/>
        <v>0</v>
      </c>
      <c r="J63" s="44">
        <f t="shared" si="17"/>
        <v>0</v>
      </c>
      <c r="K63" s="44">
        <f t="shared" si="17"/>
        <v>0</v>
      </c>
      <c r="L63" s="44">
        <f t="shared" si="17"/>
        <v>0</v>
      </c>
      <c r="M63" s="44">
        <f t="shared" si="17"/>
        <v>0</v>
      </c>
      <c r="N63" s="44">
        <f t="shared" si="17"/>
        <v>0</v>
      </c>
      <c r="O63" s="44">
        <f t="shared" si="17"/>
        <v>0</v>
      </c>
      <c r="P63" s="44">
        <f t="shared" si="17"/>
        <v>50.949001553020281</v>
      </c>
      <c r="Q63" s="44">
        <f t="shared" si="17"/>
        <v>53.594780855788365</v>
      </c>
      <c r="R63" s="44">
        <f t="shared" si="17"/>
        <v>60.088846177022916</v>
      </c>
      <c r="S63" s="44">
        <f t="shared" si="17"/>
        <v>57.644581348090725</v>
      </c>
      <c r="T63" s="44">
        <f t="shared" si="17"/>
        <v>50.722831131907711</v>
      </c>
      <c r="U63" s="44">
        <f t="shared" si="17"/>
        <v>0</v>
      </c>
      <c r="V63" s="44">
        <f t="shared" si="17"/>
        <v>0</v>
      </c>
      <c r="W63" s="44">
        <f t="shared" si="17"/>
        <v>0</v>
      </c>
    </row>
    <row r="64" spans="1:23" ht="13.2" outlineLevel="1">
      <c r="B64" s="64"/>
      <c r="D64" s="159"/>
      <c r="E64" s="101" t="s">
        <v>413</v>
      </c>
      <c r="F64" s="101"/>
      <c r="G64" s="101" t="s">
        <v>173</v>
      </c>
      <c r="H64" s="39"/>
      <c r="J64" s="39">
        <f xml:space="preserve"> IF(J63 = 0, 0, ABS( J62 / J63 ) )</f>
        <v>0</v>
      </c>
      <c r="K64" s="39">
        <f xml:space="preserve"> IF(K63 = 0, 0, ABS( K62 / K63 ) )</f>
        <v>0</v>
      </c>
      <c r="L64" s="39">
        <f t="shared" ref="L64:W64" si="18" xml:space="preserve"> IF(L63 = 0, 0, ABS( L62 / L63 ) )</f>
        <v>0</v>
      </c>
      <c r="M64" s="39">
        <f t="shared" si="18"/>
        <v>0</v>
      </c>
      <c r="N64" s="39">
        <f t="shared" si="18"/>
        <v>0</v>
      </c>
      <c r="O64" s="39">
        <f t="shared" si="18"/>
        <v>0</v>
      </c>
      <c r="P64" s="39">
        <f t="shared" si="18"/>
        <v>4.6242349824431699E-2</v>
      </c>
      <c r="Q64" s="39">
        <f t="shared" si="18"/>
        <v>2.0520297652632129E-2</v>
      </c>
      <c r="R64" s="39">
        <f t="shared" si="18"/>
        <v>2.1565502742477833E-2</v>
      </c>
      <c r="S64" s="39">
        <f t="shared" si="18"/>
        <v>1.5154613454741627E-2</v>
      </c>
      <c r="T64" s="39">
        <f t="shared" si="18"/>
        <v>1</v>
      </c>
      <c r="U64" s="39">
        <f t="shared" si="18"/>
        <v>0</v>
      </c>
      <c r="V64" s="39">
        <f t="shared" si="18"/>
        <v>0</v>
      </c>
      <c r="W64" s="39">
        <f t="shared" si="18"/>
        <v>0</v>
      </c>
    </row>
    <row r="65" spans="1:23" ht="13.2" outlineLevel="1">
      <c r="A65" s="63"/>
      <c r="C65" s="110"/>
      <c r="E65" s="74"/>
    </row>
    <row r="66" spans="1:23" ht="13.2" outlineLevel="1">
      <c r="A66" s="63"/>
      <c r="C66" s="110"/>
      <c r="E66" s="36" t="str">
        <f xml:space="preserve"> Inputs!E$57</f>
        <v>Minimum threshold</v>
      </c>
      <c r="F66" s="36">
        <f xml:space="preserve"> Inputs!F$57</f>
        <v>0.02</v>
      </c>
      <c r="G66" s="36" t="str">
        <f xml:space="preserve"> Inputs!G$57</f>
        <v>%</v>
      </c>
      <c r="H66" s="36">
        <f xml:space="preserve"> Inputs!H$57</f>
        <v>0</v>
      </c>
      <c r="I66" s="36">
        <f xml:space="preserve"> Inputs!I$57</f>
        <v>0</v>
      </c>
      <c r="J66" s="36">
        <f xml:space="preserve"> Inputs!J$57</f>
        <v>0</v>
      </c>
      <c r="K66" s="36">
        <f xml:space="preserve"> Inputs!K$57</f>
        <v>0</v>
      </c>
      <c r="L66" s="36">
        <f xml:space="preserve"> Inputs!L$57</f>
        <v>0</v>
      </c>
      <c r="M66" s="36">
        <f xml:space="preserve"> Inputs!M$57</f>
        <v>0</v>
      </c>
      <c r="N66" s="36">
        <f xml:space="preserve"> Inputs!N$57</f>
        <v>0</v>
      </c>
      <c r="O66" s="36">
        <f xml:space="preserve"> Inputs!O$57</f>
        <v>0</v>
      </c>
      <c r="P66" s="36">
        <f xml:space="preserve"> Inputs!P$57</f>
        <v>0</v>
      </c>
      <c r="Q66" s="36">
        <f xml:space="preserve"> Inputs!Q$57</f>
        <v>0</v>
      </c>
      <c r="R66" s="36">
        <f xml:space="preserve"> Inputs!R$57</f>
        <v>0</v>
      </c>
      <c r="S66" s="36">
        <f xml:space="preserve"> Inputs!S$57</f>
        <v>0</v>
      </c>
      <c r="T66" s="36">
        <f xml:space="preserve"> Inputs!T$57</f>
        <v>0</v>
      </c>
      <c r="U66" s="36">
        <f xml:space="preserve"> Inputs!U$57</f>
        <v>0</v>
      </c>
      <c r="V66" s="36">
        <f xml:space="preserve"> Inputs!V$57</f>
        <v>0</v>
      </c>
      <c r="W66" s="36">
        <f xml:space="preserve"> Inputs!W$57</f>
        <v>0</v>
      </c>
    </row>
    <row r="67" spans="1:23" ht="13.2" outlineLevel="1">
      <c r="E67" s="38" t="str">
        <f xml:space="preserve"> E$64</f>
        <v>Forecast error - WW-TTT</v>
      </c>
      <c r="F67" s="38">
        <f t="shared" ref="F67:T67" si="19" xml:space="preserve"> F$64</f>
        <v>0</v>
      </c>
      <c r="G67" s="38" t="str">
        <f t="shared" si="19"/>
        <v>%</v>
      </c>
      <c r="H67" s="38">
        <f t="shared" si="19"/>
        <v>0</v>
      </c>
      <c r="I67" s="38">
        <f t="shared" si="19"/>
        <v>0</v>
      </c>
      <c r="J67" s="38">
        <f t="shared" si="19"/>
        <v>0</v>
      </c>
      <c r="K67" s="38">
        <f t="shared" si="19"/>
        <v>0</v>
      </c>
      <c r="L67" s="38">
        <f t="shared" si="19"/>
        <v>0</v>
      </c>
      <c r="M67" s="38">
        <f t="shared" si="19"/>
        <v>0</v>
      </c>
      <c r="N67" s="38">
        <f t="shared" si="19"/>
        <v>0</v>
      </c>
      <c r="O67" s="38">
        <f t="shared" si="19"/>
        <v>0</v>
      </c>
      <c r="P67" s="38">
        <f t="shared" si="19"/>
        <v>4.6242349824431699E-2</v>
      </c>
      <c r="Q67" s="38">
        <f t="shared" si="19"/>
        <v>2.0520297652632129E-2</v>
      </c>
      <c r="R67" s="38">
        <f t="shared" si="19"/>
        <v>2.1565502742477833E-2</v>
      </c>
      <c r="S67" s="38">
        <f t="shared" si="19"/>
        <v>1.5154613454741627E-2</v>
      </c>
      <c r="T67" s="38">
        <f t="shared" si="19"/>
        <v>1</v>
      </c>
      <c r="U67" s="38">
        <f xml:space="preserve"> U$64</f>
        <v>0</v>
      </c>
      <c r="V67" s="38">
        <f xml:space="preserve"> V$64</f>
        <v>0</v>
      </c>
      <c r="W67" s="38">
        <f xml:space="preserve"> W$64</f>
        <v>0</v>
      </c>
    </row>
    <row r="68" spans="1:23" ht="13.2" outlineLevel="1">
      <c r="A68" s="63"/>
      <c r="C68" s="110"/>
      <c r="E68" s="74" t="s">
        <v>414</v>
      </c>
      <c r="G68" s="57" t="s">
        <v>240</v>
      </c>
      <c r="J68" s="57">
        <f xml:space="preserve"> IF(J67 &gt; $F66, 1, 0)</f>
        <v>0</v>
      </c>
      <c r="K68" s="57">
        <f t="shared" ref="K68:T68" si="20" xml:space="preserve"> IF(K67 &gt; $F66, 1, 0)</f>
        <v>0</v>
      </c>
      <c r="L68" s="57">
        <f t="shared" si="20"/>
        <v>0</v>
      </c>
      <c r="M68" s="57">
        <f t="shared" si="20"/>
        <v>0</v>
      </c>
      <c r="N68" s="57">
        <f t="shared" si="20"/>
        <v>0</v>
      </c>
      <c r="O68" s="57">
        <f t="shared" si="20"/>
        <v>0</v>
      </c>
      <c r="P68" s="57">
        <f t="shared" si="20"/>
        <v>1</v>
      </c>
      <c r="Q68" s="57">
        <f t="shared" si="20"/>
        <v>1</v>
      </c>
      <c r="R68" s="57">
        <f t="shared" si="20"/>
        <v>1</v>
      </c>
      <c r="S68" s="57">
        <f t="shared" si="20"/>
        <v>0</v>
      </c>
      <c r="T68" s="57">
        <f t="shared" si="20"/>
        <v>1</v>
      </c>
      <c r="U68" s="57">
        <f xml:space="preserve"> IF(U67 &gt; $F66, 1, 0)</f>
        <v>0</v>
      </c>
      <c r="V68" s="57">
        <f xml:space="preserve"> IF(V67 &gt; $F66, 1, 0)</f>
        <v>0</v>
      </c>
      <c r="W68" s="57">
        <f xml:space="preserve"> IF(W67 &gt; $F66, 1, 0)</f>
        <v>0</v>
      </c>
    </row>
    <row r="69" spans="1:23" ht="13.2" outlineLevel="1">
      <c r="A69" s="63"/>
      <c r="C69" s="110"/>
      <c r="E69" s="74"/>
      <c r="V69" s="57"/>
      <c r="W69" s="57"/>
    </row>
    <row r="70" spans="1:23" ht="13.2" outlineLevel="1">
      <c r="A70" s="63"/>
      <c r="C70" s="110"/>
      <c r="E70" s="36" t="str">
        <f xml:space="preserve"> Inputs!E$57</f>
        <v>Minimum threshold</v>
      </c>
      <c r="F70" s="36">
        <f xml:space="preserve"> Inputs!F$57</f>
        <v>0.02</v>
      </c>
      <c r="G70" s="36" t="str">
        <f xml:space="preserve"> Inputs!G$57</f>
        <v>%</v>
      </c>
      <c r="H70" s="36">
        <f xml:space="preserve"> Inputs!H$57</f>
        <v>0</v>
      </c>
      <c r="I70" s="36">
        <f xml:space="preserve"> Inputs!I$57</f>
        <v>0</v>
      </c>
      <c r="J70" s="36">
        <f xml:space="preserve"> Inputs!J$57</f>
        <v>0</v>
      </c>
      <c r="K70" s="36">
        <f xml:space="preserve"> Inputs!K$57</f>
        <v>0</v>
      </c>
      <c r="L70" s="36">
        <f xml:space="preserve"> Inputs!L$57</f>
        <v>0</v>
      </c>
      <c r="M70" s="36">
        <f xml:space="preserve"> Inputs!M$57</f>
        <v>0</v>
      </c>
      <c r="N70" s="36">
        <f xml:space="preserve"> Inputs!N$57</f>
        <v>0</v>
      </c>
      <c r="O70" s="36">
        <f xml:space="preserve"> Inputs!O$57</f>
        <v>0</v>
      </c>
      <c r="P70" s="36">
        <f xml:space="preserve"> Inputs!P$57</f>
        <v>0</v>
      </c>
      <c r="Q70" s="36">
        <f xml:space="preserve"> Inputs!Q$57</f>
        <v>0</v>
      </c>
      <c r="R70" s="36">
        <f xml:space="preserve"> Inputs!R$57</f>
        <v>0</v>
      </c>
      <c r="S70" s="36">
        <f xml:space="preserve"> Inputs!S$57</f>
        <v>0</v>
      </c>
      <c r="T70" s="36">
        <f xml:space="preserve"> Inputs!T$57</f>
        <v>0</v>
      </c>
      <c r="U70" s="36">
        <f xml:space="preserve"> Inputs!U$57</f>
        <v>0</v>
      </c>
      <c r="V70" s="36">
        <f xml:space="preserve"> Inputs!V$57</f>
        <v>0</v>
      </c>
      <c r="W70" s="36">
        <f xml:space="preserve"> Inputs!W$57</f>
        <v>0</v>
      </c>
    </row>
    <row r="71" spans="1:23" ht="13.2" outlineLevel="1">
      <c r="A71" s="63"/>
      <c r="C71" s="110"/>
      <c r="E71" s="36" t="str">
        <f xml:space="preserve"> Inputs!E$59</f>
        <v>Maximum threshold</v>
      </c>
      <c r="F71" s="36">
        <f xml:space="preserve"> Inputs!F$59</f>
        <v>0.03</v>
      </c>
      <c r="G71" s="36" t="str">
        <f xml:space="preserve"> Inputs!G$59</f>
        <v>%</v>
      </c>
      <c r="H71" s="36">
        <f xml:space="preserve"> Inputs!H$59</f>
        <v>0</v>
      </c>
      <c r="I71" s="36">
        <f xml:space="preserve"> Inputs!I$59</f>
        <v>0</v>
      </c>
      <c r="J71" s="36">
        <f xml:space="preserve"> Inputs!J$59</f>
        <v>0</v>
      </c>
      <c r="K71" s="36">
        <f xml:space="preserve"> Inputs!K$59</f>
        <v>0</v>
      </c>
      <c r="L71" s="36">
        <f xml:space="preserve"> Inputs!L$59</f>
        <v>0</v>
      </c>
      <c r="M71" s="36">
        <f xml:space="preserve"> Inputs!M$59</f>
        <v>0</v>
      </c>
      <c r="N71" s="36">
        <f xml:space="preserve"> Inputs!N$59</f>
        <v>0</v>
      </c>
      <c r="O71" s="36">
        <f xml:space="preserve"> Inputs!O$59</f>
        <v>0</v>
      </c>
      <c r="P71" s="36">
        <f xml:space="preserve"> Inputs!P$59</f>
        <v>0</v>
      </c>
      <c r="Q71" s="36">
        <f xml:space="preserve"> Inputs!Q$59</f>
        <v>0</v>
      </c>
      <c r="R71" s="36">
        <f xml:space="preserve"> Inputs!R$59</f>
        <v>0</v>
      </c>
      <c r="S71" s="36">
        <f xml:space="preserve"> Inputs!S$59</f>
        <v>0</v>
      </c>
      <c r="T71" s="36">
        <f xml:space="preserve"> Inputs!T$59</f>
        <v>0</v>
      </c>
      <c r="U71" s="36">
        <f xml:space="preserve"> Inputs!U$59</f>
        <v>0</v>
      </c>
      <c r="V71" s="36">
        <f xml:space="preserve"> Inputs!V$59</f>
        <v>0</v>
      </c>
      <c r="W71" s="36">
        <f xml:space="preserve"> Inputs!W$59</f>
        <v>0</v>
      </c>
    </row>
    <row r="72" spans="1:23" ht="13.2" outlineLevel="1">
      <c r="E72" s="38" t="str">
        <f t="shared" ref="E72:T72" si="21" xml:space="preserve"> E$64</f>
        <v>Forecast error - WW-TTT</v>
      </c>
      <c r="F72" s="38">
        <f t="shared" si="21"/>
        <v>0</v>
      </c>
      <c r="G72" s="38" t="str">
        <f t="shared" si="21"/>
        <v>%</v>
      </c>
      <c r="H72" s="38">
        <f t="shared" si="21"/>
        <v>0</v>
      </c>
      <c r="I72" s="38">
        <f t="shared" si="21"/>
        <v>0</v>
      </c>
      <c r="J72" s="38">
        <f xml:space="preserve"> J$64</f>
        <v>0</v>
      </c>
      <c r="K72" s="38">
        <f t="shared" si="21"/>
        <v>0</v>
      </c>
      <c r="L72" s="38">
        <f t="shared" si="21"/>
        <v>0</v>
      </c>
      <c r="M72" s="38">
        <f t="shared" si="21"/>
        <v>0</v>
      </c>
      <c r="N72" s="38">
        <f t="shared" si="21"/>
        <v>0</v>
      </c>
      <c r="O72" s="38">
        <f t="shared" si="21"/>
        <v>0</v>
      </c>
      <c r="P72" s="38">
        <f t="shared" si="21"/>
        <v>4.6242349824431699E-2</v>
      </c>
      <c r="Q72" s="38">
        <f t="shared" si="21"/>
        <v>2.0520297652632129E-2</v>
      </c>
      <c r="R72" s="38">
        <f t="shared" si="21"/>
        <v>2.1565502742477833E-2</v>
      </c>
      <c r="S72" s="38">
        <f t="shared" si="21"/>
        <v>1.5154613454741627E-2</v>
      </c>
      <c r="T72" s="38">
        <f t="shared" si="21"/>
        <v>1</v>
      </c>
      <c r="U72" s="38">
        <f xml:space="preserve"> U$64</f>
        <v>0</v>
      </c>
      <c r="V72" s="38">
        <f xml:space="preserve"> V$64</f>
        <v>0</v>
      </c>
      <c r="W72" s="38">
        <f xml:space="preserve"> W$64</f>
        <v>0</v>
      </c>
    </row>
    <row r="73" spans="1:23" ht="13.2" outlineLevel="1">
      <c r="A73" s="63"/>
      <c r="C73" s="110"/>
      <c r="E73" s="57" t="str">
        <f t="shared" ref="E73:T73" si="22" xml:space="preserve"> E$68</f>
        <v>Penalty applicable - WW-TTT</v>
      </c>
      <c r="F73" s="57">
        <f t="shared" si="22"/>
        <v>0</v>
      </c>
      <c r="G73" s="57" t="str">
        <f t="shared" si="22"/>
        <v>flag</v>
      </c>
      <c r="H73" s="57">
        <f t="shared" si="22"/>
        <v>0</v>
      </c>
      <c r="I73" s="57">
        <f t="shared" si="22"/>
        <v>0</v>
      </c>
      <c r="J73" s="57">
        <f xml:space="preserve"> J$68</f>
        <v>0</v>
      </c>
      <c r="K73" s="57">
        <f t="shared" si="22"/>
        <v>0</v>
      </c>
      <c r="L73" s="57">
        <f t="shared" si="22"/>
        <v>0</v>
      </c>
      <c r="M73" s="57">
        <f t="shared" si="22"/>
        <v>0</v>
      </c>
      <c r="N73" s="57">
        <f t="shared" si="22"/>
        <v>0</v>
      </c>
      <c r="O73" s="57">
        <f t="shared" si="22"/>
        <v>0</v>
      </c>
      <c r="P73" s="57">
        <f t="shared" si="22"/>
        <v>1</v>
      </c>
      <c r="Q73" s="57">
        <f t="shared" si="22"/>
        <v>1</v>
      </c>
      <c r="R73" s="57">
        <f t="shared" si="22"/>
        <v>1</v>
      </c>
      <c r="S73" s="57">
        <f t="shared" si="22"/>
        <v>0</v>
      </c>
      <c r="T73" s="57">
        <f t="shared" si="22"/>
        <v>1</v>
      </c>
      <c r="U73" s="57">
        <f xml:space="preserve"> U$68</f>
        <v>0</v>
      </c>
      <c r="V73" s="57">
        <f xml:space="preserve"> V$68</f>
        <v>0</v>
      </c>
      <c r="W73" s="57">
        <f xml:space="preserve"> W$68</f>
        <v>0</v>
      </c>
    </row>
    <row r="74" spans="1:23" ht="13.2" outlineLevel="1">
      <c r="A74" s="63"/>
      <c r="C74" s="110"/>
      <c r="E74" s="57" t="s">
        <v>415</v>
      </c>
      <c r="G74" s="57" t="s">
        <v>287</v>
      </c>
      <c r="J74" s="4">
        <f t="shared" ref="J74:T74" si="23" xml:space="preserve"> IF(J73 = 1, (J72 - $F70) / ($F71 - $F70), 0)</f>
        <v>0</v>
      </c>
      <c r="K74" s="4">
        <f xml:space="preserve"> IF(K73 = 1, (K72 - $F70) / ($F71 - $F70), 0)</f>
        <v>0</v>
      </c>
      <c r="L74" s="4">
        <f t="shared" si="23"/>
        <v>0</v>
      </c>
      <c r="M74" s="4">
        <f t="shared" si="23"/>
        <v>0</v>
      </c>
      <c r="N74" s="4">
        <f t="shared" si="23"/>
        <v>0</v>
      </c>
      <c r="O74" s="4">
        <f t="shared" si="23"/>
        <v>0</v>
      </c>
      <c r="P74" s="4">
        <f t="shared" si="23"/>
        <v>2.6242349824431703</v>
      </c>
      <c r="Q74" s="4">
        <f t="shared" si="23"/>
        <v>5.2029765263212839E-2</v>
      </c>
      <c r="R74" s="4">
        <f t="shared" si="23"/>
        <v>0.15655027424778328</v>
      </c>
      <c r="S74" s="4">
        <f t="shared" si="23"/>
        <v>0</v>
      </c>
      <c r="T74" s="4">
        <f t="shared" si="23"/>
        <v>98.000000000000014</v>
      </c>
      <c r="U74" s="4">
        <f xml:space="preserve"> IF(U73 = 1, (U72 - $F70) / ($F71 - $F70), 0)</f>
        <v>0</v>
      </c>
      <c r="V74" s="4">
        <f xml:space="preserve"> IF(V73 = 1, (V72 - $F70) / ($F71 - $F70), 0)</f>
        <v>0</v>
      </c>
      <c r="W74" s="4">
        <f xml:space="preserve"> IF(W73 = 1, (W72 - $F70) / ($F71 - $F70), 0)</f>
        <v>0</v>
      </c>
    </row>
    <row r="75" spans="1:23" ht="13.2" outlineLevel="1">
      <c r="A75" s="63"/>
      <c r="C75" s="110"/>
      <c r="E75" s="74"/>
      <c r="V75" s="57"/>
      <c r="W75" s="57"/>
    </row>
    <row r="76" spans="1:23" ht="13.2" outlineLevel="1">
      <c r="A76" s="63"/>
      <c r="C76" s="110"/>
      <c r="E76" s="36" t="str">
        <f xml:space="preserve"> Inputs!E$61</f>
        <v>Penalty level</v>
      </c>
      <c r="F76" s="36">
        <f xml:space="preserve"> Inputs!F$61</f>
        <v>0.03</v>
      </c>
      <c r="G76" s="36" t="str">
        <f xml:space="preserve"> Inputs!G$61</f>
        <v>%</v>
      </c>
      <c r="H76" s="36">
        <f xml:space="preserve"> Inputs!H$61</f>
        <v>0</v>
      </c>
      <c r="I76" s="36">
        <f xml:space="preserve"> Inputs!I$61</f>
        <v>0</v>
      </c>
      <c r="J76" s="36">
        <f xml:space="preserve"> Inputs!J$61</f>
        <v>0</v>
      </c>
      <c r="K76" s="36">
        <f xml:space="preserve"> Inputs!K$61</f>
        <v>0</v>
      </c>
      <c r="L76" s="36">
        <f xml:space="preserve"> Inputs!L$61</f>
        <v>0</v>
      </c>
      <c r="M76" s="36">
        <f xml:space="preserve"> Inputs!M$61</f>
        <v>0</v>
      </c>
      <c r="N76" s="36">
        <f xml:space="preserve"> Inputs!N$61</f>
        <v>0</v>
      </c>
      <c r="O76" s="36">
        <f xml:space="preserve"> Inputs!O$61</f>
        <v>0</v>
      </c>
      <c r="P76" s="36">
        <f xml:space="preserve"> Inputs!P$61</f>
        <v>0</v>
      </c>
      <c r="Q76" s="36">
        <f xml:space="preserve"> Inputs!Q$61</f>
        <v>0</v>
      </c>
      <c r="R76" s="36">
        <f xml:space="preserve"> Inputs!R$61</f>
        <v>0</v>
      </c>
      <c r="S76" s="36">
        <f xml:space="preserve"> Inputs!S$61</f>
        <v>0</v>
      </c>
      <c r="T76" s="36">
        <f xml:space="preserve"> Inputs!T$61</f>
        <v>0</v>
      </c>
      <c r="U76" s="36">
        <f xml:space="preserve"> Inputs!U$61</f>
        <v>0</v>
      </c>
      <c r="V76" s="36">
        <f xml:space="preserve"> Inputs!V$61</f>
        <v>0</v>
      </c>
      <c r="W76" s="36">
        <f xml:space="preserve"> Inputs!W$61</f>
        <v>0</v>
      </c>
    </row>
    <row r="77" spans="1:23" ht="13.2" outlineLevel="1">
      <c r="A77" s="63"/>
      <c r="C77" s="110"/>
      <c r="E77" s="4" t="str">
        <f t="shared" ref="E77:T77" si="24" xml:space="preserve"> E$74</f>
        <v>Error magnitude - WW-TTT</v>
      </c>
      <c r="F77" s="4">
        <f t="shared" si="24"/>
        <v>0</v>
      </c>
      <c r="G77" s="4" t="str">
        <f t="shared" si="24"/>
        <v>factor</v>
      </c>
      <c r="H77" s="4">
        <f t="shared" si="24"/>
        <v>0</v>
      </c>
      <c r="I77" s="4">
        <f t="shared" si="24"/>
        <v>0</v>
      </c>
      <c r="J77" s="4">
        <f t="shared" si="24"/>
        <v>0</v>
      </c>
      <c r="K77" s="4">
        <f t="shared" si="24"/>
        <v>0</v>
      </c>
      <c r="L77" s="4">
        <f t="shared" si="24"/>
        <v>0</v>
      </c>
      <c r="M77" s="4">
        <f t="shared" si="24"/>
        <v>0</v>
      </c>
      <c r="N77" s="4">
        <f t="shared" si="24"/>
        <v>0</v>
      </c>
      <c r="O77" s="4">
        <f t="shared" si="24"/>
        <v>0</v>
      </c>
      <c r="P77" s="4">
        <f t="shared" si="24"/>
        <v>2.6242349824431703</v>
      </c>
      <c r="Q77" s="4">
        <f t="shared" si="24"/>
        <v>5.2029765263212839E-2</v>
      </c>
      <c r="R77" s="4">
        <f t="shared" si="24"/>
        <v>0.15655027424778328</v>
      </c>
      <c r="S77" s="4">
        <f t="shared" si="24"/>
        <v>0</v>
      </c>
      <c r="T77" s="4">
        <f t="shared" si="24"/>
        <v>98.000000000000014</v>
      </c>
      <c r="U77" s="4">
        <f xml:space="preserve"> U$74</f>
        <v>0</v>
      </c>
      <c r="V77" s="4">
        <f xml:space="preserve"> V$74</f>
        <v>0</v>
      </c>
      <c r="W77" s="4">
        <f xml:space="preserve"> W$74</f>
        <v>0</v>
      </c>
    </row>
    <row r="78" spans="1:23" ht="13.2" outlineLevel="1">
      <c r="A78" s="63"/>
      <c r="C78" s="110"/>
      <c r="E78" s="82" t="s">
        <v>416</v>
      </c>
      <c r="F78" s="109"/>
      <c r="G78" s="109" t="s">
        <v>173</v>
      </c>
      <c r="H78" s="109"/>
      <c r="I78" s="58"/>
      <c r="J78" s="236">
        <f xml:space="preserve"> $F76 * MIN(1, J77)</f>
        <v>0</v>
      </c>
      <c r="K78" s="236">
        <f xml:space="preserve"> $F76 * MIN(1, K77)</f>
        <v>0</v>
      </c>
      <c r="L78" s="236">
        <f t="shared" ref="L78:T78" si="25" xml:space="preserve"> $F76 * MIN(1, L77)</f>
        <v>0</v>
      </c>
      <c r="M78" s="236">
        <f t="shared" si="25"/>
        <v>0</v>
      </c>
      <c r="N78" s="236">
        <f t="shared" si="25"/>
        <v>0</v>
      </c>
      <c r="O78" s="236">
        <f t="shared" si="25"/>
        <v>0</v>
      </c>
      <c r="P78" s="236">
        <f t="shared" si="25"/>
        <v>0.03</v>
      </c>
      <c r="Q78" s="236">
        <f t="shared" si="25"/>
        <v>1.5608929578963852E-3</v>
      </c>
      <c r="R78" s="236">
        <f t="shared" si="25"/>
        <v>4.6965082274334985E-3</v>
      </c>
      <c r="S78" s="236">
        <f t="shared" si="25"/>
        <v>0</v>
      </c>
      <c r="T78" s="236">
        <f t="shared" si="25"/>
        <v>0.03</v>
      </c>
      <c r="U78" s="236">
        <f xml:space="preserve"> $F76 * MIN(1, U77)</f>
        <v>0</v>
      </c>
      <c r="V78" s="236">
        <f xml:space="preserve"> $F76 * MIN(1, V77)</f>
        <v>0</v>
      </c>
      <c r="W78" s="236">
        <f xml:space="preserve"> $F76 * MIN(1, W77)</f>
        <v>0</v>
      </c>
    </row>
    <row r="79" spans="1:23" ht="13.2" outlineLevel="1">
      <c r="A79" s="63"/>
      <c r="C79" s="110"/>
      <c r="E79" s="74"/>
      <c r="V79" s="57"/>
      <c r="W79" s="57"/>
    </row>
    <row r="80" spans="1:23" s="129" customFormat="1" ht="13.2" outlineLevel="1">
      <c r="A80" s="166"/>
      <c r="B80" s="166"/>
      <c r="C80" s="167"/>
      <c r="D80" s="75"/>
      <c r="E80" s="205" t="str">
        <f xml:space="preserve"> E$44</f>
        <v>Revenue Imbalance  - WW-TTT</v>
      </c>
      <c r="F80" s="205">
        <f t="shared" ref="F80:W80" si="26" xml:space="preserve"> F$44</f>
        <v>0</v>
      </c>
      <c r="G80" s="205" t="str">
        <f t="shared" si="26"/>
        <v>£m</v>
      </c>
      <c r="H80" s="44">
        <f t="shared" si="26"/>
        <v>56.348041065829996</v>
      </c>
      <c r="I80" s="44">
        <f t="shared" si="26"/>
        <v>0</v>
      </c>
      <c r="J80" s="44">
        <f t="shared" si="26"/>
        <v>0</v>
      </c>
      <c r="K80" s="44">
        <f t="shared" si="26"/>
        <v>0</v>
      </c>
      <c r="L80" s="44">
        <f t="shared" si="26"/>
        <v>0</v>
      </c>
      <c r="M80" s="44">
        <f t="shared" si="26"/>
        <v>0</v>
      </c>
      <c r="N80" s="44">
        <f t="shared" si="26"/>
        <v>0</v>
      </c>
      <c r="O80" s="44">
        <f t="shared" si="26"/>
        <v>0</v>
      </c>
      <c r="P80" s="44">
        <f t="shared" si="26"/>
        <v>2.3560015530202776</v>
      </c>
      <c r="Q80" s="44">
        <f t="shared" si="26"/>
        <v>1.0997808557883673</v>
      </c>
      <c r="R80" s="44">
        <f t="shared" si="26"/>
        <v>1.2958461770229164</v>
      </c>
      <c r="S80" s="44">
        <f t="shared" si="26"/>
        <v>0.87358134809072396</v>
      </c>
      <c r="T80" s="44">
        <f t="shared" si="26"/>
        <v>50.722831131907711</v>
      </c>
      <c r="U80" s="44">
        <f t="shared" si="26"/>
        <v>0</v>
      </c>
      <c r="V80" s="44">
        <f t="shared" si="26"/>
        <v>0</v>
      </c>
      <c r="W80" s="44">
        <f t="shared" si="26"/>
        <v>0</v>
      </c>
    </row>
    <row r="81" spans="1:23" ht="13.2" outlineLevel="1">
      <c r="B81" s="64"/>
      <c r="D81" s="159"/>
      <c r="E81" s="39" t="str">
        <f t="shared" ref="E81:T81" si="27" xml:space="preserve"> E$78</f>
        <v>Penalty rate (PR) - WW-TTT</v>
      </c>
      <c r="F81" s="39">
        <f t="shared" si="27"/>
        <v>0</v>
      </c>
      <c r="G81" s="39" t="str">
        <f t="shared" si="27"/>
        <v>%</v>
      </c>
      <c r="H81" s="39">
        <f t="shared" si="27"/>
        <v>0</v>
      </c>
      <c r="I81" s="39">
        <f t="shared" si="27"/>
        <v>0</v>
      </c>
      <c r="J81" s="39">
        <f t="shared" si="27"/>
        <v>0</v>
      </c>
      <c r="K81" s="39">
        <f t="shared" si="27"/>
        <v>0</v>
      </c>
      <c r="L81" s="39">
        <f t="shared" si="27"/>
        <v>0</v>
      </c>
      <c r="M81" s="39">
        <f t="shared" si="27"/>
        <v>0</v>
      </c>
      <c r="N81" s="39">
        <f t="shared" si="27"/>
        <v>0</v>
      </c>
      <c r="O81" s="39">
        <f t="shared" si="27"/>
        <v>0</v>
      </c>
      <c r="P81" s="39">
        <f t="shared" si="27"/>
        <v>0.03</v>
      </c>
      <c r="Q81" s="39">
        <f t="shared" si="27"/>
        <v>1.5608929578963852E-3</v>
      </c>
      <c r="R81" s="39">
        <f t="shared" si="27"/>
        <v>4.6965082274334985E-3</v>
      </c>
      <c r="S81" s="39">
        <f t="shared" si="27"/>
        <v>0</v>
      </c>
      <c r="T81" s="39">
        <f t="shared" si="27"/>
        <v>0.03</v>
      </c>
      <c r="U81" s="39">
        <f xml:space="preserve"> U$78</f>
        <v>0</v>
      </c>
      <c r="V81" s="39">
        <f xml:space="preserve"> V$78</f>
        <v>0</v>
      </c>
      <c r="W81" s="39">
        <f xml:space="preserve"> W$78</f>
        <v>0</v>
      </c>
    </row>
    <row r="82" spans="1:23" ht="13.2" outlineLevel="1">
      <c r="B82" s="64"/>
      <c r="D82" s="159"/>
      <c r="E82" s="292" t="str">
        <f xml:space="preserve"> Time!E$56</f>
        <v>Forecast period flag</v>
      </c>
      <c r="F82" s="292">
        <f xml:space="preserve"> Time!F$56</f>
        <v>0</v>
      </c>
      <c r="G82" s="292" t="str">
        <f xml:space="preserve"> Time!G$56</f>
        <v>flag</v>
      </c>
      <c r="H82" s="292">
        <f xml:space="preserve"> Time!H$56</f>
        <v>5</v>
      </c>
      <c r="I82" s="292">
        <f xml:space="preserve"> Time!I$56</f>
        <v>0</v>
      </c>
      <c r="J82" s="292">
        <f xml:space="preserve"> Time!J$56</f>
        <v>0</v>
      </c>
      <c r="K82" s="292">
        <f xml:space="preserve"> Time!K$56</f>
        <v>0</v>
      </c>
      <c r="L82" s="292">
        <f xml:space="preserve"> Time!L$56</f>
        <v>0</v>
      </c>
      <c r="M82" s="292">
        <f xml:space="preserve"> Time!M$56</f>
        <v>0</v>
      </c>
      <c r="N82" s="292">
        <f xml:space="preserve"> Time!N$56</f>
        <v>0</v>
      </c>
      <c r="O82" s="292">
        <f xml:space="preserve"> Time!O$56</f>
        <v>0</v>
      </c>
      <c r="P82" s="292">
        <f xml:space="preserve"> Time!P$56</f>
        <v>1</v>
      </c>
      <c r="Q82" s="292">
        <f xml:space="preserve"> Time!Q$56</f>
        <v>1</v>
      </c>
      <c r="R82" s="292">
        <f xml:space="preserve"> Time!R$56</f>
        <v>1</v>
      </c>
      <c r="S82" s="292">
        <f xml:space="preserve"> Time!S$56</f>
        <v>1</v>
      </c>
      <c r="T82" s="292">
        <f xml:space="preserve"> Time!T$56</f>
        <v>1</v>
      </c>
      <c r="U82" s="292">
        <f xml:space="preserve"> Time!U$56</f>
        <v>0</v>
      </c>
      <c r="V82" s="292">
        <f xml:space="preserve"> Time!V$56</f>
        <v>0</v>
      </c>
      <c r="W82" s="292">
        <f xml:space="preserve"> Time!W$56</f>
        <v>0</v>
      </c>
    </row>
    <row r="83" spans="1:23" ht="13.2" outlineLevel="1">
      <c r="B83" s="64"/>
      <c r="D83" s="159"/>
      <c r="E83" s="129" t="s">
        <v>417</v>
      </c>
      <c r="F83" s="101"/>
      <c r="G83" s="101" t="s">
        <v>97</v>
      </c>
      <c r="H83" s="93">
        <f xml:space="preserve"> SUM(J83:W83)</f>
        <v>1.6001675729727454</v>
      </c>
      <c r="J83" s="93">
        <f xml:space="preserve">  IF(J82=1, J81 * ABS(J80), 0 )</f>
        <v>0</v>
      </c>
      <c r="K83" s="93">
        <f t="shared" ref="K83:W83" si="28" xml:space="preserve">  IF(K82=1, K81 * ABS(K80), 0 )</f>
        <v>0</v>
      </c>
      <c r="L83" s="93">
        <f t="shared" si="28"/>
        <v>0</v>
      </c>
      <c r="M83" s="93">
        <f t="shared" si="28"/>
        <v>0</v>
      </c>
      <c r="N83" s="93">
        <f t="shared" si="28"/>
        <v>0</v>
      </c>
      <c r="O83" s="93">
        <f t="shared" si="28"/>
        <v>0</v>
      </c>
      <c r="P83" s="93">
        <f t="shared" si="28"/>
        <v>7.0680046590608323E-2</v>
      </c>
      <c r="Q83" s="93">
        <f t="shared" si="28"/>
        <v>1.7166401930293223E-3</v>
      </c>
      <c r="R83" s="93">
        <f t="shared" si="28"/>
        <v>6.0859522318763726E-3</v>
      </c>
      <c r="S83" s="93">
        <f t="shared" si="28"/>
        <v>0</v>
      </c>
      <c r="T83" s="93">
        <f t="shared" si="28"/>
        <v>1.5216849339572314</v>
      </c>
      <c r="U83" s="93">
        <f t="shared" si="28"/>
        <v>0</v>
      </c>
      <c r="V83" s="93">
        <f t="shared" si="28"/>
        <v>0</v>
      </c>
      <c r="W83" s="93">
        <f t="shared" si="28"/>
        <v>0</v>
      </c>
    </row>
    <row r="84" spans="1:23" ht="13.2" outlineLevel="1">
      <c r="B84" s="64"/>
      <c r="D84" s="159"/>
      <c r="E84" s="129"/>
      <c r="F84" s="101"/>
      <c r="G84" s="101"/>
      <c r="H84" s="93"/>
      <c r="J84" s="93">
        <f xml:space="preserve"> IF( J51 &lt;= $F$48 + 1,  J50 * (1 + $F49) * (1 + $F49), 0 )</f>
        <v>0</v>
      </c>
      <c r="K84" s="93"/>
      <c r="L84" s="93"/>
      <c r="M84" s="93"/>
      <c r="N84" s="93"/>
      <c r="O84" s="93"/>
      <c r="P84" s="93"/>
      <c r="Q84" s="93"/>
      <c r="R84" s="93"/>
      <c r="S84" s="93"/>
      <c r="T84" s="93"/>
      <c r="U84" s="93"/>
      <c r="V84" s="93"/>
      <c r="W84" s="93"/>
    </row>
    <row r="85" spans="1:23" ht="13.2" outlineLevel="1">
      <c r="B85" s="64"/>
      <c r="D85" s="159"/>
      <c r="E85" s="101" t="str">
        <f t="shared" ref="E85:W85" si="29" xml:space="preserve"> E$83</f>
        <v>Penalty adjustment - WW-TTT POS</v>
      </c>
      <c r="F85" s="101">
        <f t="shared" si="29"/>
        <v>0</v>
      </c>
      <c r="G85" s="101" t="str">
        <f t="shared" si="29"/>
        <v>£m</v>
      </c>
      <c r="H85" s="93">
        <f t="shared" si="29"/>
        <v>1.6001675729727454</v>
      </c>
      <c r="I85" s="101">
        <f t="shared" si="29"/>
        <v>0</v>
      </c>
      <c r="J85" s="93">
        <f t="shared" si="29"/>
        <v>0</v>
      </c>
      <c r="K85" s="93">
        <f t="shared" si="29"/>
        <v>0</v>
      </c>
      <c r="L85" s="93">
        <f t="shared" si="29"/>
        <v>0</v>
      </c>
      <c r="M85" s="93">
        <f t="shared" si="29"/>
        <v>0</v>
      </c>
      <c r="N85" s="93">
        <f t="shared" si="29"/>
        <v>0</v>
      </c>
      <c r="O85" s="93">
        <f t="shared" si="29"/>
        <v>0</v>
      </c>
      <c r="P85" s="93">
        <f t="shared" si="29"/>
        <v>7.0680046590608323E-2</v>
      </c>
      <c r="Q85" s="93">
        <f t="shared" si="29"/>
        <v>1.7166401930293223E-3</v>
      </c>
      <c r="R85" s="93">
        <f t="shared" si="29"/>
        <v>6.0859522318763726E-3</v>
      </c>
      <c r="S85" s="93">
        <f t="shared" si="29"/>
        <v>0</v>
      </c>
      <c r="T85" s="93">
        <f t="shared" si="29"/>
        <v>1.5216849339572314</v>
      </c>
      <c r="U85" s="93">
        <f t="shared" si="29"/>
        <v>0</v>
      </c>
      <c r="V85" s="93">
        <f t="shared" si="29"/>
        <v>0</v>
      </c>
      <c r="W85" s="93">
        <f t="shared" si="29"/>
        <v>0</v>
      </c>
    </row>
    <row r="86" spans="1:23" s="155" customFormat="1" ht="13.2" outlineLevel="1">
      <c r="A86" s="168"/>
      <c r="B86" s="168"/>
      <c r="C86" s="162"/>
      <c r="D86" s="163"/>
      <c r="E86" s="164" t="s">
        <v>418</v>
      </c>
      <c r="F86" s="164"/>
      <c r="G86" s="164" t="s">
        <v>97</v>
      </c>
      <c r="H86" s="165">
        <f xml:space="preserve"> SUM(J86:W86)</f>
        <v>-1.6001675729727454</v>
      </c>
      <c r="I86" s="185"/>
      <c r="J86" s="165">
        <f xml:space="preserve"> - J85</f>
        <v>0</v>
      </c>
      <c r="K86" s="165">
        <f t="shared" ref="K86:W86" si="30" xml:space="preserve"> - K85</f>
        <v>0</v>
      </c>
      <c r="L86" s="165">
        <f t="shared" si="30"/>
        <v>0</v>
      </c>
      <c r="M86" s="165">
        <f t="shared" si="30"/>
        <v>0</v>
      </c>
      <c r="N86" s="165">
        <f t="shared" si="30"/>
        <v>0</v>
      </c>
      <c r="O86" s="165">
        <f t="shared" si="30"/>
        <v>0</v>
      </c>
      <c r="P86" s="165">
        <f t="shared" si="30"/>
        <v>-7.0680046590608323E-2</v>
      </c>
      <c r="Q86" s="165">
        <f t="shared" si="30"/>
        <v>-1.7166401930293223E-3</v>
      </c>
      <c r="R86" s="165">
        <f t="shared" si="30"/>
        <v>-6.0859522318763726E-3</v>
      </c>
      <c r="S86" s="165">
        <f t="shared" si="30"/>
        <v>0</v>
      </c>
      <c r="T86" s="165">
        <f t="shared" si="30"/>
        <v>-1.5216849339572314</v>
      </c>
      <c r="U86" s="165">
        <f t="shared" si="30"/>
        <v>0</v>
      </c>
      <c r="V86" s="165">
        <f t="shared" si="30"/>
        <v>0</v>
      </c>
      <c r="W86" s="165">
        <f t="shared" si="30"/>
        <v>0</v>
      </c>
    </row>
    <row r="87" spans="1:23" ht="13.2" outlineLevel="1">
      <c r="A87" s="63"/>
      <c r="C87" s="110"/>
      <c r="E87" s="74"/>
      <c r="V87" s="57"/>
      <c r="W87" s="57"/>
    </row>
    <row r="88" spans="1:23" ht="13.2" outlineLevel="1">
      <c r="B88" s="64"/>
      <c r="D88" s="159"/>
      <c r="E88" s="43" t="str">
        <f xml:space="preserve"> Inputs!E$63</f>
        <v>Discount rate</v>
      </c>
      <c r="F88" s="43">
        <f xml:space="preserve"> Inputs!F$63</f>
        <v>2.92E-2</v>
      </c>
      <c r="G88" s="43" t="str">
        <f xml:space="preserve"> Inputs!G$63</f>
        <v>%</v>
      </c>
      <c r="H88" s="43">
        <f xml:space="preserve"> Inputs!H$63</f>
        <v>0</v>
      </c>
      <c r="I88" s="43">
        <f xml:space="preserve"> Inputs!I$63</f>
        <v>0</v>
      </c>
      <c r="J88" s="43">
        <f xml:space="preserve"> Inputs!J$63</f>
        <v>0</v>
      </c>
      <c r="K88" s="43">
        <f xml:space="preserve"> Inputs!K$63</f>
        <v>0</v>
      </c>
      <c r="L88" s="43">
        <f xml:space="preserve"> Inputs!L$63</f>
        <v>0</v>
      </c>
      <c r="M88" s="43">
        <f xml:space="preserve"> Inputs!M$63</f>
        <v>0</v>
      </c>
      <c r="N88" s="43">
        <f xml:space="preserve"> Inputs!N$63</f>
        <v>0</v>
      </c>
      <c r="O88" s="43">
        <f xml:space="preserve"> Inputs!O$63</f>
        <v>0</v>
      </c>
      <c r="P88" s="43">
        <f xml:space="preserve"> Inputs!P$63</f>
        <v>0</v>
      </c>
      <c r="Q88" s="43">
        <f xml:space="preserve"> Inputs!Q$63</f>
        <v>0</v>
      </c>
      <c r="R88" s="43">
        <f xml:space="preserve"> Inputs!R$63</f>
        <v>0</v>
      </c>
      <c r="S88" s="43">
        <f xml:space="preserve"> Inputs!S$63</f>
        <v>0</v>
      </c>
      <c r="T88" s="43">
        <f xml:space="preserve"> Inputs!T$63</f>
        <v>0</v>
      </c>
      <c r="U88" s="43">
        <f xml:space="preserve"> Inputs!U$63</f>
        <v>0</v>
      </c>
      <c r="V88" s="43">
        <f xml:space="preserve"> Inputs!V$63</f>
        <v>0</v>
      </c>
      <c r="W88" s="43">
        <f xml:space="preserve"> Inputs!W$63</f>
        <v>0</v>
      </c>
    </row>
    <row r="89" spans="1:23" ht="13.2" outlineLevel="1">
      <c r="A89" s="63"/>
      <c r="C89" s="110"/>
      <c r="E89" s="156" t="str">
        <f xml:space="preserve"> E$86</f>
        <v>Penalty adjustment - WW-TTT</v>
      </c>
      <c r="F89" s="156">
        <f xml:space="preserve"> F$86</f>
        <v>0</v>
      </c>
      <c r="G89" s="156" t="str">
        <f xml:space="preserve"> G$86</f>
        <v>£m</v>
      </c>
      <c r="H89" s="156">
        <f xml:space="preserve"> H$86</f>
        <v>-1.6001675729727454</v>
      </c>
      <c r="I89" s="156">
        <f xml:space="preserve"> I$86</f>
        <v>0</v>
      </c>
      <c r="J89" s="156">
        <f t="shared" ref="J89:T89" si="31" xml:space="preserve"> J$86</f>
        <v>0</v>
      </c>
      <c r="K89" s="156">
        <f t="shared" si="31"/>
        <v>0</v>
      </c>
      <c r="L89" s="156">
        <f t="shared" si="31"/>
        <v>0</v>
      </c>
      <c r="M89" s="156">
        <f t="shared" si="31"/>
        <v>0</v>
      </c>
      <c r="N89" s="156">
        <f t="shared" si="31"/>
        <v>0</v>
      </c>
      <c r="O89" s="156">
        <f t="shared" si="31"/>
        <v>0</v>
      </c>
      <c r="P89" s="156">
        <f t="shared" si="31"/>
        <v>-7.0680046590608323E-2</v>
      </c>
      <c r="Q89" s="156">
        <f t="shared" si="31"/>
        <v>-1.7166401930293223E-3</v>
      </c>
      <c r="R89" s="156">
        <f t="shared" si="31"/>
        <v>-6.0859522318763726E-3</v>
      </c>
      <c r="S89" s="156">
        <f t="shared" si="31"/>
        <v>0</v>
      </c>
      <c r="T89" s="156">
        <f t="shared" si="31"/>
        <v>-1.5216849339572314</v>
      </c>
      <c r="U89" s="156">
        <f xml:space="preserve"> U$86</f>
        <v>0</v>
      </c>
      <c r="V89" s="156">
        <f xml:space="preserve"> V$86</f>
        <v>0</v>
      </c>
      <c r="W89" s="156">
        <f xml:space="preserve"> W$86</f>
        <v>0</v>
      </c>
    </row>
    <row r="90" spans="1:23" ht="13.2" outlineLevel="1">
      <c r="B90" s="64"/>
      <c r="D90" s="159"/>
      <c r="E90" s="74" t="s">
        <v>419</v>
      </c>
      <c r="G90" s="57" t="s">
        <v>97</v>
      </c>
      <c r="H90" s="94">
        <f xml:space="preserve"> SUM(J90:W90)</f>
        <v>-1.6468924661035493</v>
      </c>
      <c r="J90" s="94">
        <f t="shared" ref="J90:T90" si="32" xml:space="preserve"> J89 * (1 + $F88)</f>
        <v>0</v>
      </c>
      <c r="K90" s="94">
        <f xml:space="preserve"> K89 * (1 + $F88)</f>
        <v>0</v>
      </c>
      <c r="L90" s="94">
        <f t="shared" si="32"/>
        <v>0</v>
      </c>
      <c r="M90" s="94">
        <f t="shared" si="32"/>
        <v>0</v>
      </c>
      <c r="N90" s="94">
        <f t="shared" si="32"/>
        <v>0</v>
      </c>
      <c r="O90" s="94">
        <f t="shared" si="32"/>
        <v>0</v>
      </c>
      <c r="P90" s="94">
        <f xml:space="preserve"> P89 * (1 + $F88)</f>
        <v>-7.2743903951054081E-2</v>
      </c>
      <c r="Q90" s="94">
        <f t="shared" si="32"/>
        <v>-1.7667660866657784E-3</v>
      </c>
      <c r="R90" s="94">
        <f t="shared" si="32"/>
        <v>-6.2636620370471619E-3</v>
      </c>
      <c r="S90" s="94">
        <f t="shared" si="32"/>
        <v>0</v>
      </c>
      <c r="T90" s="94">
        <f t="shared" si="32"/>
        <v>-1.5661181340287824</v>
      </c>
      <c r="U90" s="94">
        <f xml:space="preserve"> U89 * (1 + $F88)</f>
        <v>0</v>
      </c>
      <c r="V90" s="94">
        <f xml:space="preserve"> V89 * (1 + $F88)</f>
        <v>0</v>
      </c>
      <c r="W90" s="94">
        <f xml:space="preserve"> W89 * (1 + $F88)</f>
        <v>0</v>
      </c>
    </row>
    <row r="91" spans="1:23" ht="13.2" outlineLevel="1">
      <c r="B91" s="64"/>
      <c r="D91" s="159"/>
      <c r="V91" s="57"/>
      <c r="W91" s="57"/>
    </row>
    <row r="92" spans="1:23" ht="13.2" outlineLevel="1">
      <c r="B92" s="64"/>
      <c r="D92" s="159"/>
      <c r="E92" s="36" t="str">
        <f xml:space="preserve"> 'Indices and K factor'!E$11</f>
        <v>CPIH: Nov % increase (prior year) - CALC</v>
      </c>
      <c r="F92" s="36">
        <f xml:space="preserve"> 'Indices and K factor'!F$11</f>
        <v>0</v>
      </c>
      <c r="G92" s="36" t="str">
        <f xml:space="preserve"> 'Indices and K factor'!G$11</f>
        <v>%</v>
      </c>
      <c r="H92" s="36">
        <f xml:space="preserve"> 'Indices and K factor'!H$11</f>
        <v>0</v>
      </c>
      <c r="I92" s="36">
        <f xml:space="preserve"> 'Indices and K factor'!I$11</f>
        <v>0</v>
      </c>
      <c r="J92" s="36">
        <f xml:space="preserve"> 'Indices and K factor'!J$11</f>
        <v>0</v>
      </c>
      <c r="K92" s="36">
        <f xml:space="preserve"> 'Indices and K factor'!K$11</f>
        <v>0</v>
      </c>
      <c r="L92" s="36">
        <f xml:space="preserve"> 'Indices and K factor'!L$11</f>
        <v>1.0040040040040039</v>
      </c>
      <c r="M92" s="36">
        <f xml:space="preserve"> 'Indices and K factor'!M$11</f>
        <v>1.0149551345962113</v>
      </c>
      <c r="N92" s="36">
        <f xml:space="preserve"> 'Indices and K factor'!N$11</f>
        <v>1.0284872298624754</v>
      </c>
      <c r="O92" s="36">
        <f xml:space="preserve"> 'Indices and K factor'!O$11</f>
        <v>1.0210124164278893</v>
      </c>
      <c r="P92" s="36">
        <f xml:space="preserve"> 'Indices and K factor'!P$11</f>
        <v>1.0149672591206735</v>
      </c>
      <c r="Q92" s="36">
        <f xml:space="preserve"> 'Indices and K factor'!Q$11</f>
        <v>1.0055299539170506</v>
      </c>
      <c r="R92" s="36">
        <f xml:space="preserve"> 'Indices and K factor'!R$11</f>
        <v>1.0458295142071494</v>
      </c>
      <c r="S92" s="36">
        <f xml:space="preserve"> 'Indices and K factor'!S$11</f>
        <v>1.0937773882559159</v>
      </c>
      <c r="T92" s="36">
        <f xml:space="preserve"> 'Indices and K factor'!T$11</f>
        <v>1.042059294871795</v>
      </c>
      <c r="U92" s="36">
        <f xml:space="preserve"> 'Indices and K factor'!U$11</f>
        <v>1.0312779542070039</v>
      </c>
      <c r="V92" s="36">
        <f xml:space="preserve"> 'Indices and K factor'!V$11</f>
        <v>1.02</v>
      </c>
      <c r="W92" s="36">
        <f xml:space="preserve"> 'Indices and K factor'!W$11</f>
        <v>1.02</v>
      </c>
    </row>
    <row r="93" spans="1:23" ht="13.2" outlineLevel="1">
      <c r="B93" s="64"/>
      <c r="D93" s="159"/>
      <c r="E93" s="35" t="str">
        <f t="shared" ref="E93:T93" si="33" xml:space="preserve"> E$90</f>
        <v>Penalty adjustment - with financing adjustment - WW-TTT</v>
      </c>
      <c r="F93" s="35">
        <f t="shared" si="33"/>
        <v>0</v>
      </c>
      <c r="G93" s="35" t="str">
        <f t="shared" si="33"/>
        <v>£m</v>
      </c>
      <c r="H93" s="35">
        <f t="shared" si="33"/>
        <v>-1.6468924661035493</v>
      </c>
      <c r="I93" s="35">
        <f t="shared" si="33"/>
        <v>0</v>
      </c>
      <c r="J93" s="35">
        <f t="shared" si="33"/>
        <v>0</v>
      </c>
      <c r="K93" s="35">
        <f t="shared" si="33"/>
        <v>0</v>
      </c>
      <c r="L93" s="35">
        <f t="shared" si="33"/>
        <v>0</v>
      </c>
      <c r="M93" s="35">
        <f t="shared" si="33"/>
        <v>0</v>
      </c>
      <c r="N93" s="35">
        <f t="shared" si="33"/>
        <v>0</v>
      </c>
      <c r="O93" s="35">
        <f t="shared" si="33"/>
        <v>0</v>
      </c>
      <c r="P93" s="35">
        <f t="shared" si="33"/>
        <v>-7.2743903951054081E-2</v>
      </c>
      <c r="Q93" s="35">
        <f t="shared" si="33"/>
        <v>-1.7667660866657784E-3</v>
      </c>
      <c r="R93" s="35">
        <f t="shared" si="33"/>
        <v>-6.2636620370471619E-3</v>
      </c>
      <c r="S93" s="35">
        <f t="shared" si="33"/>
        <v>0</v>
      </c>
      <c r="T93" s="35">
        <f t="shared" si="33"/>
        <v>-1.5661181340287824</v>
      </c>
      <c r="U93" s="35">
        <f xml:space="preserve"> U$90</f>
        <v>0</v>
      </c>
      <c r="V93" s="35">
        <f xml:space="preserve"> V$90</f>
        <v>0</v>
      </c>
      <c r="W93" s="35">
        <f xml:space="preserve"> W$90</f>
        <v>0</v>
      </c>
    </row>
    <row r="94" spans="1:23" ht="13.2" outlineLevel="1">
      <c r="B94" s="64"/>
      <c r="D94" s="159"/>
      <c r="E94" s="45" t="str">
        <f xml:space="preserve"> Time!E$56</f>
        <v>Forecast period flag</v>
      </c>
      <c r="F94" s="45">
        <f xml:space="preserve"> Time!F$56</f>
        <v>0</v>
      </c>
      <c r="G94" s="45" t="str">
        <f xml:space="preserve"> Time!G$56</f>
        <v>flag</v>
      </c>
      <c r="H94" s="45">
        <f xml:space="preserve"> Time!H$56</f>
        <v>5</v>
      </c>
      <c r="I94" s="45">
        <f xml:space="preserve"> Time!I$56</f>
        <v>0</v>
      </c>
      <c r="J94" s="45">
        <f xml:space="preserve"> Time!J$56</f>
        <v>0</v>
      </c>
      <c r="K94" s="45">
        <f xml:space="preserve"> Time!K$56</f>
        <v>0</v>
      </c>
      <c r="L94" s="45">
        <f xml:space="preserve"> Time!L$56</f>
        <v>0</v>
      </c>
      <c r="M94" s="45">
        <f xml:space="preserve"> Time!M$56</f>
        <v>0</v>
      </c>
      <c r="N94" s="45">
        <f xml:space="preserve"> Time!N$56</f>
        <v>0</v>
      </c>
      <c r="O94" s="45">
        <f xml:space="preserve"> Time!O$56</f>
        <v>0</v>
      </c>
      <c r="P94" s="45">
        <f xml:space="preserve"> Time!P$56</f>
        <v>1</v>
      </c>
      <c r="Q94" s="45">
        <f xml:space="preserve"> Time!Q$56</f>
        <v>1</v>
      </c>
      <c r="R94" s="45">
        <f xml:space="preserve"> Time!R$56</f>
        <v>1</v>
      </c>
      <c r="S94" s="45">
        <f xml:space="preserve"> Time!S$56</f>
        <v>1</v>
      </c>
      <c r="T94" s="45">
        <f xml:space="preserve"> Time!T$56</f>
        <v>1</v>
      </c>
      <c r="U94" s="45">
        <f xml:space="preserve"> Time!U$56</f>
        <v>0</v>
      </c>
      <c r="V94" s="45">
        <f xml:space="preserve"> Time!V$56</f>
        <v>0</v>
      </c>
      <c r="W94" s="45">
        <f xml:space="preserve"> Time!W$56</f>
        <v>0</v>
      </c>
    </row>
    <row r="95" spans="1:23" ht="13.2" outlineLevel="1">
      <c r="A95" s="63"/>
      <c r="C95" s="110"/>
      <c r="E95" s="82" t="s">
        <v>420</v>
      </c>
      <c r="F95" s="109"/>
      <c r="G95" s="109" t="s">
        <v>97</v>
      </c>
      <c r="H95" s="106">
        <f xml:space="preserve"> SUM( J95:W95 )</f>
        <v>-1.7330638097412772</v>
      </c>
      <c r="I95" s="58"/>
      <c r="J95" s="224">
        <f xml:space="preserve"> IF( J94 = 1, J93 * K92 * L92, 0 )</f>
        <v>0</v>
      </c>
      <c r="K95" s="224">
        <f t="shared" ref="K95:U95" si="34" xml:space="preserve"> IF( K94 = 1, K93 * L92 * M92, 0 )</f>
        <v>0</v>
      </c>
      <c r="L95" s="224">
        <f t="shared" si="34"/>
        <v>0</v>
      </c>
      <c r="M95" s="224">
        <f t="shared" si="34"/>
        <v>0</v>
      </c>
      <c r="N95" s="224">
        <f t="shared" si="34"/>
        <v>0</v>
      </c>
      <c r="O95" s="224">
        <f t="shared" si="34"/>
        <v>0</v>
      </c>
      <c r="P95" s="224">
        <f t="shared" si="34"/>
        <v>-7.6498428025947196E-2</v>
      </c>
      <c r="Q95" s="224">
        <f t="shared" si="34"/>
        <v>-2.0210119854801936E-3</v>
      </c>
      <c r="R95" s="224">
        <f t="shared" si="34"/>
        <v>-7.139202316003037E-3</v>
      </c>
      <c r="S95" s="224">
        <f t="shared" si="34"/>
        <v>0</v>
      </c>
      <c r="T95" s="224">
        <f t="shared" si="34"/>
        <v>-1.6474051674138468</v>
      </c>
      <c r="U95" s="224">
        <f t="shared" si="34"/>
        <v>0</v>
      </c>
      <c r="V95" s="237"/>
      <c r="W95" s="237"/>
    </row>
    <row r="96" spans="1:23" customFormat="1" ht="13.2" outlineLevel="1"/>
    <row r="97" spans="1:23" ht="14.1" customHeight="1" outlineLevel="1">
      <c r="A97" s="63"/>
      <c r="B97" s="63" t="s">
        <v>344</v>
      </c>
      <c r="C97" s="110"/>
      <c r="E97" s="74"/>
    </row>
    <row r="98" spans="1:23" ht="14.1" customHeight="1" outlineLevel="1">
      <c r="A98" s="63"/>
      <c r="C98" s="110"/>
      <c r="E98" s="74"/>
    </row>
    <row r="99" spans="1:23" ht="13.2" outlineLevel="1">
      <c r="A99" s="63"/>
      <c r="C99" s="110"/>
      <c r="E99" s="36" t="str">
        <f xml:space="preserve"> Inputs!E$65</f>
        <v>Threshold for additional variance analyses</v>
      </c>
      <c r="F99" s="36">
        <f xml:space="preserve"> Inputs!F$65</f>
        <v>0.06</v>
      </c>
      <c r="G99" s="36" t="str">
        <f xml:space="preserve"> Inputs!G$65</f>
        <v>%</v>
      </c>
      <c r="H99" s="36">
        <f xml:space="preserve"> Inputs!H$65</f>
        <v>0</v>
      </c>
      <c r="I99" s="36">
        <f xml:space="preserve"> Inputs!I$65</f>
        <v>0</v>
      </c>
      <c r="J99" s="36">
        <f xml:space="preserve"> Inputs!J$65</f>
        <v>0</v>
      </c>
      <c r="K99" s="36">
        <f xml:space="preserve"> Inputs!K$65</f>
        <v>0</v>
      </c>
      <c r="L99" s="36">
        <f xml:space="preserve"> Inputs!L$65</f>
        <v>0</v>
      </c>
      <c r="M99" s="36">
        <f xml:space="preserve"> Inputs!M$65</f>
        <v>0</v>
      </c>
      <c r="N99" s="36">
        <f xml:space="preserve"> Inputs!N$65</f>
        <v>0</v>
      </c>
      <c r="O99" s="36">
        <f xml:space="preserve"> Inputs!O$65</f>
        <v>0</v>
      </c>
      <c r="P99" s="36">
        <f xml:space="preserve"> Inputs!P$65</f>
        <v>0</v>
      </c>
      <c r="Q99" s="36">
        <f xml:space="preserve"> Inputs!Q$65</f>
        <v>0</v>
      </c>
      <c r="R99" s="36">
        <f xml:space="preserve"> Inputs!R$65</f>
        <v>0</v>
      </c>
      <c r="S99" s="36">
        <f xml:space="preserve"> Inputs!S$65</f>
        <v>0</v>
      </c>
      <c r="T99" s="36">
        <f xml:space="preserve"> Inputs!T$65</f>
        <v>0</v>
      </c>
      <c r="U99" s="36">
        <f xml:space="preserve"> Inputs!U$65</f>
        <v>0</v>
      </c>
      <c r="V99" s="36">
        <f xml:space="preserve"> Inputs!V$65</f>
        <v>0</v>
      </c>
      <c r="W99" s="36">
        <f xml:space="preserve"> Inputs!W$65</f>
        <v>0</v>
      </c>
    </row>
    <row r="100" spans="1:23" ht="13.2" outlineLevel="1">
      <c r="A100" s="63"/>
      <c r="C100" s="110"/>
      <c r="E100" s="38" t="str">
        <f>E$64</f>
        <v>Forecast error - WW-TTT</v>
      </c>
      <c r="F100" s="38">
        <f>F$64</f>
        <v>0</v>
      </c>
      <c r="G100" s="38" t="str">
        <f>G$64</f>
        <v>%</v>
      </c>
      <c r="H100" s="38">
        <f>H$64</f>
        <v>0</v>
      </c>
      <c r="I100" s="38">
        <f>I$64</f>
        <v>0</v>
      </c>
      <c r="J100" s="38">
        <f t="shared" ref="J100:W100" si="35">J$64</f>
        <v>0</v>
      </c>
      <c r="K100" s="38">
        <f t="shared" si="35"/>
        <v>0</v>
      </c>
      <c r="L100" s="38">
        <f t="shared" si="35"/>
        <v>0</v>
      </c>
      <c r="M100" s="38">
        <f t="shared" si="35"/>
        <v>0</v>
      </c>
      <c r="N100" s="38">
        <f t="shared" si="35"/>
        <v>0</v>
      </c>
      <c r="O100" s="38">
        <f t="shared" si="35"/>
        <v>0</v>
      </c>
      <c r="P100" s="38">
        <f t="shared" si="35"/>
        <v>4.6242349824431699E-2</v>
      </c>
      <c r="Q100" s="38">
        <f>Q$64</f>
        <v>2.0520297652632129E-2</v>
      </c>
      <c r="R100" s="38">
        <f t="shared" si="35"/>
        <v>2.1565502742477833E-2</v>
      </c>
      <c r="S100" s="38">
        <f t="shared" si="35"/>
        <v>1.5154613454741627E-2</v>
      </c>
      <c r="T100" s="38">
        <f t="shared" si="35"/>
        <v>1</v>
      </c>
      <c r="U100" s="38">
        <f t="shared" si="35"/>
        <v>0</v>
      </c>
      <c r="V100" s="38">
        <f t="shared" si="35"/>
        <v>0</v>
      </c>
      <c r="W100" s="38">
        <f t="shared" si="35"/>
        <v>0</v>
      </c>
    </row>
    <row r="101" spans="1:23" ht="13.2" outlineLevel="1">
      <c r="A101" s="63"/>
      <c r="C101" s="110"/>
      <c r="E101" s="74" t="s">
        <v>421</v>
      </c>
      <c r="F101" s="158">
        <f xml:space="preserve"> IF(SUM(J101:W101) &gt; 0, 1, 0)</f>
        <v>1</v>
      </c>
      <c r="G101" s="57" t="s">
        <v>346</v>
      </c>
      <c r="J101" s="158">
        <f t="shared" ref="J101:W101" si="36" xml:space="preserve"> IF(ABS(J100) &gt; $F99, 1, 0)</f>
        <v>0</v>
      </c>
      <c r="K101" s="158">
        <f t="shared" si="36"/>
        <v>0</v>
      </c>
      <c r="L101" s="158">
        <f t="shared" si="36"/>
        <v>0</v>
      </c>
      <c r="M101" s="158">
        <f t="shared" si="36"/>
        <v>0</v>
      </c>
      <c r="N101" s="158">
        <f t="shared" si="36"/>
        <v>0</v>
      </c>
      <c r="O101" s="158">
        <f t="shared" si="36"/>
        <v>0</v>
      </c>
      <c r="P101" s="158">
        <f t="shared" si="36"/>
        <v>0</v>
      </c>
      <c r="Q101" s="158">
        <f t="shared" si="36"/>
        <v>0</v>
      </c>
      <c r="R101" s="158">
        <f t="shared" si="36"/>
        <v>0</v>
      </c>
      <c r="S101" s="158">
        <f t="shared" si="36"/>
        <v>0</v>
      </c>
      <c r="T101" s="158">
        <f t="shared" si="36"/>
        <v>1</v>
      </c>
      <c r="U101" s="158">
        <f t="shared" si="36"/>
        <v>0</v>
      </c>
      <c r="V101" s="158">
        <f t="shared" si="36"/>
        <v>0</v>
      </c>
      <c r="W101" s="158">
        <f t="shared" si="36"/>
        <v>0</v>
      </c>
    </row>
    <row r="102" spans="1:23" ht="13.2" outlineLevel="1">
      <c r="A102" s="63"/>
      <c r="C102" s="110"/>
      <c r="E102" s="74"/>
      <c r="V102" s="57"/>
      <c r="W102" s="57"/>
    </row>
    <row r="103" spans="1:23" customFormat="1" ht="12.75" customHeight="1">
      <c r="A103" s="115" t="s">
        <v>352</v>
      </c>
      <c r="B103" s="115"/>
      <c r="C103" s="114"/>
      <c r="D103" s="115"/>
      <c r="E103" s="115"/>
      <c r="F103" s="115"/>
      <c r="G103" s="115"/>
      <c r="H103" s="115"/>
      <c r="I103" s="115"/>
      <c r="J103" s="115"/>
      <c r="K103" s="115"/>
      <c r="L103" s="115"/>
      <c r="M103" s="115"/>
      <c r="N103" s="115"/>
      <c r="O103" s="115"/>
      <c r="P103" s="115"/>
      <c r="Q103" s="115"/>
      <c r="R103" s="115"/>
      <c r="S103" s="115"/>
      <c r="T103" s="115"/>
      <c r="U103" s="115"/>
      <c r="V103" s="115"/>
      <c r="W103" s="115"/>
    </row>
    <row r="104" spans="1:23" ht="13.2">
      <c r="A104" s="63"/>
      <c r="C104" s="110"/>
      <c r="E104" s="74"/>
      <c r="V104" s="57"/>
      <c r="W104" s="57"/>
    </row>
    <row r="105" spans="1:23" ht="13.2" outlineLevel="1">
      <c r="A105" s="63"/>
      <c r="C105" s="110"/>
      <c r="E105" s="128" t="str">
        <f xml:space="preserve"> E$56</f>
        <v>Main revenue adjustment - with financing adjustment &amp; 2 year lag of inflation - WW-TTT</v>
      </c>
      <c r="F105" s="128">
        <f xml:space="preserve"> F$56</f>
        <v>0</v>
      </c>
      <c r="G105" s="128" t="str">
        <f xml:space="preserve"> G$56</f>
        <v>£m</v>
      </c>
      <c r="H105" s="35">
        <f xml:space="preserve"> H$56</f>
        <v>5.5214887090136546</v>
      </c>
      <c r="I105" s="35">
        <f xml:space="preserve"> I$56</f>
        <v>0</v>
      </c>
      <c r="J105" s="35">
        <f t="shared" ref="J105:W105" si="37" xml:space="preserve"> J$56</f>
        <v>0</v>
      </c>
      <c r="K105" s="35">
        <f xml:space="preserve"> K$56</f>
        <v>0</v>
      </c>
      <c r="L105" s="35">
        <f t="shared" si="37"/>
        <v>0</v>
      </c>
      <c r="M105" s="35">
        <f t="shared" si="37"/>
        <v>0</v>
      </c>
      <c r="N105" s="35">
        <f t="shared" si="37"/>
        <v>0</v>
      </c>
      <c r="O105" s="35">
        <f t="shared" si="37"/>
        <v>0</v>
      </c>
      <c r="P105" s="35">
        <f t="shared" si="37"/>
        <v>2.6244060708101613</v>
      </c>
      <c r="Q105" s="35">
        <f t="shared" si="37"/>
        <v>1.3325869175932887</v>
      </c>
      <c r="R105" s="35">
        <f t="shared" si="37"/>
        <v>1.5644957206102044</v>
      </c>
      <c r="S105" s="35">
        <f t="shared" si="37"/>
        <v>0</v>
      </c>
      <c r="T105" s="35">
        <f t="shared" si="37"/>
        <v>0</v>
      </c>
      <c r="U105" s="35">
        <f t="shared" si="37"/>
        <v>0</v>
      </c>
      <c r="V105" s="35">
        <f t="shared" si="37"/>
        <v>0</v>
      </c>
      <c r="W105" s="35">
        <f t="shared" si="37"/>
        <v>0</v>
      </c>
    </row>
    <row r="106" spans="1:23" ht="13.2" outlineLevel="1">
      <c r="A106" s="63"/>
      <c r="C106" s="110"/>
      <c r="E106" s="94" t="str">
        <f t="shared" ref="E106:T106" si="38" xml:space="preserve"> E$95</f>
        <v>Penalty adjustment - with financing adjustment &amp; 2 year lag of inflation - WW-TTT</v>
      </c>
      <c r="F106" s="94">
        <f t="shared" si="38"/>
        <v>0</v>
      </c>
      <c r="G106" s="94" t="str">
        <f t="shared" si="38"/>
        <v>£m</v>
      </c>
      <c r="H106" s="94">
        <f t="shared" si="38"/>
        <v>-1.7330638097412772</v>
      </c>
      <c r="I106" s="94">
        <f t="shared" si="38"/>
        <v>0</v>
      </c>
      <c r="J106" s="94">
        <f t="shared" si="38"/>
        <v>0</v>
      </c>
      <c r="K106" s="94">
        <f xml:space="preserve"> K$95</f>
        <v>0</v>
      </c>
      <c r="L106" s="94">
        <f t="shared" si="38"/>
        <v>0</v>
      </c>
      <c r="M106" s="94">
        <f t="shared" si="38"/>
        <v>0</v>
      </c>
      <c r="N106" s="94">
        <f t="shared" si="38"/>
        <v>0</v>
      </c>
      <c r="O106" s="94">
        <f t="shared" si="38"/>
        <v>0</v>
      </c>
      <c r="P106" s="94">
        <f t="shared" si="38"/>
        <v>-7.6498428025947196E-2</v>
      </c>
      <c r="Q106" s="94">
        <f t="shared" si="38"/>
        <v>-2.0210119854801936E-3</v>
      </c>
      <c r="R106" s="94">
        <f t="shared" si="38"/>
        <v>-7.139202316003037E-3</v>
      </c>
      <c r="S106" s="94">
        <f t="shared" si="38"/>
        <v>0</v>
      </c>
      <c r="T106" s="94">
        <f t="shared" si="38"/>
        <v>-1.6474051674138468</v>
      </c>
      <c r="U106" s="94">
        <f xml:space="preserve"> U$95</f>
        <v>0</v>
      </c>
      <c r="V106" s="94">
        <f xml:space="preserve"> V$95</f>
        <v>0</v>
      </c>
      <c r="W106" s="94">
        <f xml:space="preserve"> W$95</f>
        <v>0</v>
      </c>
    </row>
    <row r="107" spans="1:23" ht="13.2" outlineLevel="1">
      <c r="A107" s="63"/>
      <c r="C107" s="110"/>
      <c r="E107" s="45" t="str">
        <f xml:space="preserve"> Time!E$56</f>
        <v>Forecast period flag</v>
      </c>
      <c r="F107" s="45">
        <f xml:space="preserve"> Time!F$56</f>
        <v>0</v>
      </c>
      <c r="G107" s="45" t="str">
        <f xml:space="preserve"> Time!G$56</f>
        <v>flag</v>
      </c>
      <c r="H107" s="45">
        <f xml:space="preserve"> Time!H$56</f>
        <v>5</v>
      </c>
      <c r="I107" s="45">
        <f xml:space="preserve"> Time!I$56</f>
        <v>0</v>
      </c>
      <c r="J107" s="45">
        <f xml:space="preserve"> Time!J$56</f>
        <v>0</v>
      </c>
      <c r="K107" s="45">
        <f xml:space="preserve"> Time!K$56</f>
        <v>0</v>
      </c>
      <c r="L107" s="45">
        <f xml:space="preserve"> Time!L$56</f>
        <v>0</v>
      </c>
      <c r="M107" s="45">
        <f xml:space="preserve"> Time!M$56</f>
        <v>0</v>
      </c>
      <c r="N107" s="45">
        <f xml:space="preserve"> Time!N$56</f>
        <v>0</v>
      </c>
      <c r="O107" s="45">
        <f xml:space="preserve"> Time!O$56</f>
        <v>0</v>
      </c>
      <c r="P107" s="45">
        <f xml:space="preserve"> Time!P$56</f>
        <v>1</v>
      </c>
      <c r="Q107" s="45">
        <f xml:space="preserve"> Time!Q$56</f>
        <v>1</v>
      </c>
      <c r="R107" s="45">
        <f xml:space="preserve"> Time!R$56</f>
        <v>1</v>
      </c>
      <c r="S107" s="45">
        <f xml:space="preserve"> Time!S$56</f>
        <v>1</v>
      </c>
      <c r="T107" s="45">
        <f xml:space="preserve"> Time!T$56</f>
        <v>1</v>
      </c>
      <c r="U107" s="45">
        <f xml:space="preserve"> Time!U$56</f>
        <v>0</v>
      </c>
      <c r="V107" s="45">
        <f xml:space="preserve"> Time!V$56</f>
        <v>0</v>
      </c>
      <c r="W107" s="45">
        <f xml:space="preserve"> Time!W$56</f>
        <v>0</v>
      </c>
    </row>
    <row r="108" spans="1:23" s="175" customFormat="1" ht="13.8" outlineLevel="1" thickBot="1">
      <c r="A108" s="90"/>
      <c r="B108" s="90"/>
      <c r="C108" s="91"/>
      <c r="D108" s="293"/>
      <c r="E108" s="287" t="s">
        <v>422</v>
      </c>
      <c r="F108" s="287" t="s">
        <v>355</v>
      </c>
      <c r="G108" s="287" t="s">
        <v>97</v>
      </c>
      <c r="H108" s="287">
        <f xml:space="preserve"> SUM(J108:W108)</f>
        <v>5.4358300666862238</v>
      </c>
      <c r="I108" s="287"/>
      <c r="J108" s="270"/>
      <c r="K108" s="287">
        <f t="shared" ref="K108:W108" si="39" xml:space="preserve"> ( I105 + I106 ) * K107</f>
        <v>0</v>
      </c>
      <c r="L108" s="287">
        <f t="shared" si="39"/>
        <v>0</v>
      </c>
      <c r="M108" s="287">
        <f t="shared" si="39"/>
        <v>0</v>
      </c>
      <c r="N108" s="287">
        <f t="shared" si="39"/>
        <v>0</v>
      </c>
      <c r="O108" s="287">
        <f xml:space="preserve"> ( M105 + M106 ) * O107</f>
        <v>0</v>
      </c>
      <c r="P108" s="287">
        <f t="shared" si="39"/>
        <v>0</v>
      </c>
      <c r="Q108" s="287">
        <f t="shared" si="39"/>
        <v>0</v>
      </c>
      <c r="R108" s="287">
        <f t="shared" si="39"/>
        <v>2.5479076427842142</v>
      </c>
      <c r="S108" s="287">
        <f t="shared" si="39"/>
        <v>1.3305659056078085</v>
      </c>
      <c r="T108" s="287">
        <f xml:space="preserve"> ( R105 + R106 ) * T107</f>
        <v>1.5573565182942013</v>
      </c>
      <c r="U108" s="287">
        <f t="shared" si="39"/>
        <v>0</v>
      </c>
      <c r="V108" s="287">
        <f t="shared" si="39"/>
        <v>0</v>
      </c>
      <c r="W108" s="287">
        <f t="shared" si="39"/>
        <v>0</v>
      </c>
    </row>
    <row r="109" spans="1:23" ht="13.8" outlineLevel="1" thickTop="1">
      <c r="A109" s="63"/>
      <c r="C109" s="110"/>
      <c r="E109" s="74"/>
      <c r="V109" s="57"/>
      <c r="W109" s="57"/>
    </row>
    <row r="110" spans="1:23" ht="13.2">
      <c r="A110" s="115" t="s">
        <v>358</v>
      </c>
      <c r="B110" s="115"/>
      <c r="C110" s="114"/>
      <c r="D110" s="115"/>
      <c r="E110" s="115"/>
      <c r="F110" s="115"/>
      <c r="G110" s="115"/>
      <c r="H110" s="115"/>
      <c r="I110" s="115"/>
      <c r="J110" s="115"/>
      <c r="K110" s="115"/>
      <c r="L110" s="115"/>
      <c r="M110" s="115"/>
      <c r="N110" s="115"/>
      <c r="O110" s="115"/>
      <c r="P110" s="115"/>
      <c r="Q110" s="115"/>
      <c r="R110" s="115"/>
      <c r="S110" s="115"/>
      <c r="T110" s="115"/>
      <c r="U110" s="115"/>
      <c r="V110" s="115"/>
      <c r="W110" s="115"/>
    </row>
    <row r="111" spans="1:23" ht="13.2">
      <c r="A111" s="63"/>
      <c r="C111" s="110"/>
      <c r="E111" s="74"/>
      <c r="V111" s="57"/>
      <c r="W111" s="57"/>
    </row>
    <row r="112" spans="1:23" ht="13.2" outlineLevel="1">
      <c r="B112" s="64" t="s">
        <v>398</v>
      </c>
      <c r="D112" s="159"/>
      <c r="E112" s="129"/>
      <c r="F112" s="101"/>
      <c r="G112" s="101"/>
      <c r="H112" s="101"/>
      <c r="J112" s="101"/>
      <c r="K112" s="101"/>
      <c r="L112" s="101"/>
      <c r="M112" s="101"/>
      <c r="N112" s="101"/>
      <c r="O112" s="101"/>
      <c r="P112" s="101"/>
      <c r="Q112" s="101"/>
      <c r="R112" s="101"/>
      <c r="S112" s="101"/>
      <c r="T112" s="101"/>
      <c r="U112" s="101"/>
      <c r="V112" s="101"/>
      <c r="W112" s="101"/>
    </row>
    <row r="113" spans="1:23" ht="13.2" outlineLevel="1">
      <c r="B113" s="64"/>
      <c r="D113" s="159"/>
      <c r="E113" s="129"/>
      <c r="F113" s="101"/>
      <c r="G113" s="101"/>
      <c r="H113" s="101"/>
      <c r="J113" s="101"/>
      <c r="K113" s="101"/>
      <c r="L113" s="101"/>
      <c r="M113" s="101"/>
      <c r="N113" s="101"/>
      <c r="O113" s="101"/>
      <c r="P113" s="101"/>
      <c r="Q113" s="101"/>
      <c r="R113" s="101"/>
      <c r="S113" s="101"/>
      <c r="T113" s="101"/>
      <c r="U113" s="101"/>
      <c r="V113" s="101"/>
      <c r="W113" s="101"/>
    </row>
    <row r="114" spans="1:23" ht="13.2" outlineLevel="1">
      <c r="B114" s="64"/>
      <c r="D114" s="159"/>
      <c r="E114" s="43" t="str">
        <f xml:space="preserve"> Inputs!E$63</f>
        <v>Discount rate</v>
      </c>
      <c r="F114" s="43">
        <f xml:space="preserve"> Inputs!F$63</f>
        <v>2.92E-2</v>
      </c>
      <c r="G114" s="43" t="str">
        <f xml:space="preserve"> Inputs!G$63</f>
        <v>%</v>
      </c>
      <c r="H114" s="43">
        <f xml:space="preserve"> Inputs!H$63</f>
        <v>0</v>
      </c>
      <c r="I114" s="43">
        <f xml:space="preserve"> Inputs!I$63</f>
        <v>0</v>
      </c>
      <c r="J114" s="43">
        <f xml:space="preserve"> Inputs!J$63</f>
        <v>0</v>
      </c>
      <c r="K114" s="43">
        <f xml:space="preserve"> Inputs!K$63</f>
        <v>0</v>
      </c>
      <c r="L114" s="43">
        <f xml:space="preserve"> Inputs!L$63</f>
        <v>0</v>
      </c>
      <c r="M114" s="43">
        <f xml:space="preserve"> Inputs!M$63</f>
        <v>0</v>
      </c>
      <c r="N114" s="43">
        <f xml:space="preserve"> Inputs!N$63</f>
        <v>0</v>
      </c>
      <c r="O114" s="43">
        <f xml:space="preserve"> Inputs!O$63</f>
        <v>0</v>
      </c>
      <c r="P114" s="43">
        <f xml:space="preserve"> Inputs!P$63</f>
        <v>0</v>
      </c>
      <c r="Q114" s="43">
        <f xml:space="preserve"> Inputs!Q$63</f>
        <v>0</v>
      </c>
      <c r="R114" s="43">
        <f xml:space="preserve"> Inputs!R$63</f>
        <v>0</v>
      </c>
      <c r="S114" s="43">
        <f xml:space="preserve"> Inputs!S$63</f>
        <v>0</v>
      </c>
      <c r="T114" s="43">
        <f xml:space="preserve"> Inputs!T$63</f>
        <v>0</v>
      </c>
      <c r="U114" s="43">
        <f xml:space="preserve"> Inputs!U$63</f>
        <v>0</v>
      </c>
      <c r="V114" s="43">
        <f xml:space="preserve"> Inputs!V$63</f>
        <v>0</v>
      </c>
      <c r="W114" s="43">
        <f xml:space="preserve"> Inputs!W$63</f>
        <v>0</v>
      </c>
    </row>
    <row r="115" spans="1:23" ht="13.2" outlineLevel="1">
      <c r="B115" s="64"/>
      <c r="D115" s="159"/>
      <c r="E115" s="43" t="str">
        <f xml:space="preserve"> 'Indices and K factor'!E$11</f>
        <v>CPIH: Nov % increase (prior year) - CALC</v>
      </c>
      <c r="F115" s="43">
        <f xml:space="preserve"> 'Indices and K factor'!F$11</f>
        <v>0</v>
      </c>
      <c r="G115" s="43" t="str">
        <f xml:space="preserve"> 'Indices and K factor'!G$11</f>
        <v>%</v>
      </c>
      <c r="H115" s="43">
        <f xml:space="preserve"> 'Indices and K factor'!H$11</f>
        <v>0</v>
      </c>
      <c r="I115" s="43">
        <f xml:space="preserve"> 'Indices and K factor'!I$11</f>
        <v>0</v>
      </c>
      <c r="J115" s="43">
        <f xml:space="preserve"> 'Indices and K factor'!J$11</f>
        <v>0</v>
      </c>
      <c r="K115" s="43">
        <f xml:space="preserve"> 'Indices and K factor'!K$11</f>
        <v>0</v>
      </c>
      <c r="L115" s="43">
        <f xml:space="preserve"> 'Indices and K factor'!L$11</f>
        <v>1.0040040040040039</v>
      </c>
      <c r="M115" s="43">
        <f xml:space="preserve"> 'Indices and K factor'!M$11</f>
        <v>1.0149551345962113</v>
      </c>
      <c r="N115" s="43">
        <f xml:space="preserve"> 'Indices and K factor'!N$11</f>
        <v>1.0284872298624754</v>
      </c>
      <c r="O115" s="43">
        <f xml:space="preserve"> 'Indices and K factor'!O$11</f>
        <v>1.0210124164278893</v>
      </c>
      <c r="P115" s="43">
        <f xml:space="preserve"> 'Indices and K factor'!P$11</f>
        <v>1.0149672591206735</v>
      </c>
      <c r="Q115" s="43">
        <f xml:space="preserve"> 'Indices and K factor'!Q$11</f>
        <v>1.0055299539170506</v>
      </c>
      <c r="R115" s="43">
        <f xml:space="preserve"> 'Indices and K factor'!R$11</f>
        <v>1.0458295142071494</v>
      </c>
      <c r="S115" s="43">
        <f xml:space="preserve"> 'Indices and K factor'!S$11</f>
        <v>1.0937773882559159</v>
      </c>
      <c r="T115" s="43">
        <f xml:space="preserve"> 'Indices and K factor'!T$11</f>
        <v>1.042059294871795</v>
      </c>
      <c r="U115" s="43">
        <f xml:space="preserve"> 'Indices and K factor'!U$11</f>
        <v>1.0312779542070039</v>
      </c>
      <c r="V115" s="43">
        <f xml:space="preserve"> 'Indices and K factor'!V$11</f>
        <v>1.02</v>
      </c>
      <c r="W115" s="43">
        <f xml:space="preserve"> 'Indices and K factor'!W$11</f>
        <v>1.02</v>
      </c>
    </row>
    <row r="116" spans="1:23" ht="13.2" outlineLevel="1">
      <c r="B116" s="64"/>
      <c r="D116" s="159"/>
      <c r="E116" s="296" t="str">
        <f xml:space="preserve"> E$44</f>
        <v>Revenue Imbalance  - WW-TTT</v>
      </c>
      <c r="F116" s="296">
        <f t="shared" ref="F116:W116" si="40" xml:space="preserve"> F$44</f>
        <v>0</v>
      </c>
      <c r="G116" s="296" t="str">
        <f t="shared" si="40"/>
        <v>£m</v>
      </c>
      <c r="H116" s="296">
        <f t="shared" si="40"/>
        <v>56.348041065829996</v>
      </c>
      <c r="I116" s="296">
        <f t="shared" si="40"/>
        <v>0</v>
      </c>
      <c r="J116" s="296">
        <f t="shared" si="40"/>
        <v>0</v>
      </c>
      <c r="K116" s="296">
        <f t="shared" si="40"/>
        <v>0</v>
      </c>
      <c r="L116" s="296">
        <f t="shared" si="40"/>
        <v>0</v>
      </c>
      <c r="M116" s="296">
        <f t="shared" si="40"/>
        <v>0</v>
      </c>
      <c r="N116" s="296">
        <f t="shared" si="40"/>
        <v>0</v>
      </c>
      <c r="O116" s="296">
        <f t="shared" si="40"/>
        <v>0</v>
      </c>
      <c r="P116" s="296">
        <f t="shared" si="40"/>
        <v>2.3560015530202776</v>
      </c>
      <c r="Q116" s="296">
        <f t="shared" si="40"/>
        <v>1.0997808557883673</v>
      </c>
      <c r="R116" s="296">
        <f t="shared" si="40"/>
        <v>1.2958461770229164</v>
      </c>
      <c r="S116" s="296">
        <f t="shared" si="40"/>
        <v>0.87358134809072396</v>
      </c>
      <c r="T116" s="296">
        <f t="shared" si="40"/>
        <v>50.722831131907711</v>
      </c>
      <c r="U116" s="296">
        <f t="shared" si="40"/>
        <v>0</v>
      </c>
      <c r="V116" s="296">
        <f t="shared" si="40"/>
        <v>0</v>
      </c>
      <c r="W116" s="296">
        <f t="shared" si="40"/>
        <v>0</v>
      </c>
    </row>
    <row r="117" spans="1:23" s="129" customFormat="1" ht="13.2" outlineLevel="1">
      <c r="A117" s="166"/>
      <c r="B117" s="166"/>
      <c r="C117" s="167"/>
      <c r="D117" s="75"/>
      <c r="E117" s="98" t="str">
        <f xml:space="preserve"> Time!E$51</f>
        <v>Forecast end period flag</v>
      </c>
      <c r="F117" s="98">
        <f xml:space="preserve"> Time!F$51</f>
        <v>0</v>
      </c>
      <c r="G117" s="98" t="str">
        <f xml:space="preserve"> Time!G$51</f>
        <v>flag</v>
      </c>
      <c r="H117" s="98">
        <f xml:space="preserve"> Time!H$51</f>
        <v>1</v>
      </c>
      <c r="I117" s="98">
        <f xml:space="preserve"> Time!I$51</f>
        <v>0</v>
      </c>
      <c r="J117" s="98">
        <f xml:space="preserve"> Time!J$51</f>
        <v>0</v>
      </c>
      <c r="K117" s="98">
        <f xml:space="preserve"> Time!K$51</f>
        <v>0</v>
      </c>
      <c r="L117" s="98">
        <f xml:space="preserve"> Time!L$51</f>
        <v>0</v>
      </c>
      <c r="M117" s="98">
        <f xml:space="preserve"> Time!M$51</f>
        <v>0</v>
      </c>
      <c r="N117" s="98">
        <f xml:space="preserve"> Time!N$51</f>
        <v>0</v>
      </c>
      <c r="O117" s="98">
        <f xml:space="preserve"> Time!O$51</f>
        <v>0</v>
      </c>
      <c r="P117" s="98">
        <f xml:space="preserve"> Time!P$51</f>
        <v>0</v>
      </c>
      <c r="Q117" s="98">
        <f xml:space="preserve"> Time!Q$51</f>
        <v>0</v>
      </c>
      <c r="R117" s="98">
        <f xml:space="preserve"> Time!R$51</f>
        <v>0</v>
      </c>
      <c r="S117" s="98">
        <f xml:space="preserve"> Time!S$51</f>
        <v>0</v>
      </c>
      <c r="T117" s="98">
        <f xml:space="preserve"> Time!T$51</f>
        <v>1</v>
      </c>
      <c r="U117" s="98">
        <f xml:space="preserve"> Time!U$51</f>
        <v>0</v>
      </c>
      <c r="V117" s="98">
        <f xml:space="preserve"> Time!V$51</f>
        <v>0</v>
      </c>
      <c r="W117" s="98">
        <f xml:space="preserve"> Time!W$51</f>
        <v>0</v>
      </c>
    </row>
    <row r="118" spans="1:23" ht="13.2" outlineLevel="1">
      <c r="B118" s="64"/>
      <c r="D118" s="159"/>
      <c r="E118" s="129" t="s">
        <v>423</v>
      </c>
      <c r="F118" s="101"/>
      <c r="G118" s="101" t="s">
        <v>97</v>
      </c>
      <c r="H118" s="93">
        <f xml:space="preserve"> SUM(J118:W118)</f>
        <v>0.93690501166182538</v>
      </c>
      <c r="J118" s="93">
        <f t="shared" ref="J118:W118" si="41" xml:space="preserve"> IF(J117 = 1, I116 * J115 * (1 + $F114), 0)</f>
        <v>0</v>
      </c>
      <c r="K118" s="93">
        <f t="shared" si="41"/>
        <v>0</v>
      </c>
      <c r="L118" s="93">
        <f t="shared" si="41"/>
        <v>0</v>
      </c>
      <c r="M118" s="93">
        <f t="shared" si="41"/>
        <v>0</v>
      </c>
      <c r="N118" s="93">
        <f t="shared" si="41"/>
        <v>0</v>
      </c>
      <c r="O118" s="93">
        <f t="shared" si="41"/>
        <v>0</v>
      </c>
      <c r="P118" s="93">
        <f t="shared" si="41"/>
        <v>0</v>
      </c>
      <c r="Q118" s="93">
        <f t="shared" si="41"/>
        <v>0</v>
      </c>
      <c r="R118" s="93">
        <f t="shared" si="41"/>
        <v>0</v>
      </c>
      <c r="S118" s="93">
        <f t="shared" si="41"/>
        <v>0</v>
      </c>
      <c r="T118" s="93">
        <f t="shared" si="41"/>
        <v>0.93690501166182538</v>
      </c>
      <c r="U118" s="93">
        <f t="shared" si="41"/>
        <v>0</v>
      </c>
      <c r="V118" s="93">
        <f t="shared" si="41"/>
        <v>0</v>
      </c>
      <c r="W118" s="93">
        <f t="shared" si="41"/>
        <v>0</v>
      </c>
    </row>
    <row r="119" spans="1:23" ht="13.2" outlineLevel="1">
      <c r="B119" s="64"/>
      <c r="D119" s="159"/>
      <c r="E119" s="129"/>
      <c r="F119" s="101"/>
      <c r="G119" s="101"/>
      <c r="H119" s="93"/>
      <c r="J119" s="93"/>
      <c r="K119" s="93"/>
      <c r="L119" s="93"/>
      <c r="M119" s="93"/>
      <c r="N119" s="93"/>
      <c r="O119" s="93"/>
      <c r="P119" s="93"/>
      <c r="Q119" s="93"/>
      <c r="R119" s="93"/>
      <c r="S119" s="93"/>
      <c r="T119" s="93"/>
      <c r="U119" s="93"/>
      <c r="V119" s="93"/>
      <c r="W119" s="93"/>
    </row>
    <row r="120" spans="1:23" ht="13.2" outlineLevel="1">
      <c r="B120" s="64"/>
      <c r="D120" s="159"/>
      <c r="E120" s="43" t="str">
        <f xml:space="preserve"> Inputs!E$63</f>
        <v>Discount rate</v>
      </c>
      <c r="F120" s="43">
        <f xml:space="preserve"> Inputs!F$63</f>
        <v>2.92E-2</v>
      </c>
      <c r="G120" s="43" t="str">
        <f xml:space="preserve"> Inputs!G$63</f>
        <v>%</v>
      </c>
      <c r="H120" s="43">
        <f xml:space="preserve"> Inputs!H$63</f>
        <v>0</v>
      </c>
      <c r="I120" s="43">
        <f xml:space="preserve"> Inputs!I$63</f>
        <v>0</v>
      </c>
      <c r="J120" s="43">
        <f xml:space="preserve"> Inputs!J$63</f>
        <v>0</v>
      </c>
      <c r="K120" s="43">
        <f xml:space="preserve"> Inputs!K$63</f>
        <v>0</v>
      </c>
      <c r="L120" s="43">
        <f xml:space="preserve"> Inputs!L$63</f>
        <v>0</v>
      </c>
      <c r="M120" s="43">
        <f xml:space="preserve"> Inputs!M$63</f>
        <v>0</v>
      </c>
      <c r="N120" s="43">
        <f xml:space="preserve"> Inputs!N$63</f>
        <v>0</v>
      </c>
      <c r="O120" s="43">
        <f xml:space="preserve"> Inputs!O$63</f>
        <v>0</v>
      </c>
      <c r="P120" s="43">
        <f xml:space="preserve"> Inputs!P$63</f>
        <v>0</v>
      </c>
      <c r="Q120" s="43">
        <f xml:space="preserve"> Inputs!Q$63</f>
        <v>0</v>
      </c>
      <c r="R120" s="43">
        <f xml:space="preserve"> Inputs!R$63</f>
        <v>0</v>
      </c>
      <c r="S120" s="43">
        <f xml:space="preserve"> Inputs!S$63</f>
        <v>0</v>
      </c>
      <c r="T120" s="43">
        <f xml:space="preserve"> Inputs!T$63</f>
        <v>0</v>
      </c>
      <c r="U120" s="43">
        <f xml:space="preserve"> Inputs!U$63</f>
        <v>0</v>
      </c>
      <c r="V120" s="43">
        <f xml:space="preserve"> Inputs!V$63</f>
        <v>0</v>
      </c>
      <c r="W120" s="43">
        <f xml:space="preserve"> Inputs!W$63</f>
        <v>0</v>
      </c>
    </row>
    <row r="121" spans="1:23" ht="13.2" outlineLevel="1">
      <c r="B121" s="64"/>
      <c r="D121" s="159"/>
      <c r="E121" s="43" t="str">
        <f xml:space="preserve"> 'Indices and K factor'!E$11</f>
        <v>CPIH: Nov % increase (prior year) - CALC</v>
      </c>
      <c r="F121" s="43">
        <f xml:space="preserve"> 'Indices and K factor'!F$11</f>
        <v>0</v>
      </c>
      <c r="G121" s="43" t="str">
        <f xml:space="preserve"> 'Indices and K factor'!G$11</f>
        <v>%</v>
      </c>
      <c r="H121" s="43">
        <f xml:space="preserve"> 'Indices and K factor'!H$11</f>
        <v>0</v>
      </c>
      <c r="I121" s="43">
        <f xml:space="preserve"> 'Indices and K factor'!I$11</f>
        <v>0</v>
      </c>
      <c r="J121" s="43">
        <f xml:space="preserve"> 'Indices and K factor'!J$11</f>
        <v>0</v>
      </c>
      <c r="K121" s="43">
        <f xml:space="preserve"> 'Indices and K factor'!K$11</f>
        <v>0</v>
      </c>
      <c r="L121" s="43">
        <f xml:space="preserve"> 'Indices and K factor'!L$11</f>
        <v>1.0040040040040039</v>
      </c>
      <c r="M121" s="43">
        <f xml:space="preserve"> 'Indices and K factor'!M$11</f>
        <v>1.0149551345962113</v>
      </c>
      <c r="N121" s="43">
        <f xml:space="preserve"> 'Indices and K factor'!N$11</f>
        <v>1.0284872298624754</v>
      </c>
      <c r="O121" s="43">
        <f xml:space="preserve"> 'Indices and K factor'!O$11</f>
        <v>1.0210124164278893</v>
      </c>
      <c r="P121" s="43">
        <f xml:space="preserve"> 'Indices and K factor'!P$11</f>
        <v>1.0149672591206735</v>
      </c>
      <c r="Q121" s="43">
        <f xml:space="preserve"> 'Indices and K factor'!Q$11</f>
        <v>1.0055299539170506</v>
      </c>
      <c r="R121" s="43">
        <f xml:space="preserve"> 'Indices and K factor'!R$11</f>
        <v>1.0458295142071494</v>
      </c>
      <c r="S121" s="43">
        <f xml:space="preserve"> 'Indices and K factor'!S$11</f>
        <v>1.0937773882559159</v>
      </c>
      <c r="T121" s="43">
        <f xml:space="preserve"> 'Indices and K factor'!T$11</f>
        <v>1.042059294871795</v>
      </c>
      <c r="U121" s="43">
        <f xml:space="preserve"> 'Indices and K factor'!U$11</f>
        <v>1.0312779542070039</v>
      </c>
      <c r="V121" s="43">
        <f xml:space="preserve"> 'Indices and K factor'!V$11</f>
        <v>1.02</v>
      </c>
      <c r="W121" s="43">
        <f xml:space="preserve"> 'Indices and K factor'!W$11</f>
        <v>1.02</v>
      </c>
    </row>
    <row r="122" spans="1:23" ht="13.2" outlineLevel="1">
      <c r="B122" s="64"/>
      <c r="D122" s="159"/>
      <c r="E122" s="206" t="str">
        <f t="shared" ref="E122:W122" si="42" xml:space="preserve"> E$86</f>
        <v>Penalty adjustment - WW-TTT</v>
      </c>
      <c r="F122" s="206">
        <f t="shared" si="42"/>
        <v>0</v>
      </c>
      <c r="G122" s="206" t="str">
        <f t="shared" si="42"/>
        <v>£m</v>
      </c>
      <c r="H122" s="206">
        <f t="shared" si="42"/>
        <v>-1.6001675729727454</v>
      </c>
      <c r="I122" s="206">
        <f t="shared" si="42"/>
        <v>0</v>
      </c>
      <c r="J122" s="206">
        <f t="shared" si="42"/>
        <v>0</v>
      </c>
      <c r="K122" s="206">
        <f t="shared" si="42"/>
        <v>0</v>
      </c>
      <c r="L122" s="206">
        <f t="shared" si="42"/>
        <v>0</v>
      </c>
      <c r="M122" s="206">
        <f t="shared" si="42"/>
        <v>0</v>
      </c>
      <c r="N122" s="206">
        <f t="shared" si="42"/>
        <v>0</v>
      </c>
      <c r="O122" s="206">
        <f t="shared" si="42"/>
        <v>0</v>
      </c>
      <c r="P122" s="206">
        <f t="shared" si="42"/>
        <v>-7.0680046590608323E-2</v>
      </c>
      <c r="Q122" s="206">
        <f t="shared" si="42"/>
        <v>-1.7166401930293223E-3</v>
      </c>
      <c r="R122" s="206">
        <f t="shared" si="42"/>
        <v>-6.0859522318763726E-3</v>
      </c>
      <c r="S122" s="206">
        <f t="shared" si="42"/>
        <v>0</v>
      </c>
      <c r="T122" s="206">
        <f t="shared" si="42"/>
        <v>-1.5216849339572314</v>
      </c>
      <c r="U122" s="206">
        <f t="shared" si="42"/>
        <v>0</v>
      </c>
      <c r="V122" s="206">
        <f t="shared" si="42"/>
        <v>0</v>
      </c>
      <c r="W122" s="206">
        <f t="shared" si="42"/>
        <v>0</v>
      </c>
    </row>
    <row r="123" spans="1:23" ht="13.2" outlineLevel="1">
      <c r="B123" s="64"/>
      <c r="D123" s="159"/>
      <c r="E123" s="98" t="str">
        <f xml:space="preserve"> Time!E$51</f>
        <v>Forecast end period flag</v>
      </c>
      <c r="F123" s="98">
        <f xml:space="preserve"> Time!F$51</f>
        <v>0</v>
      </c>
      <c r="G123" s="98" t="str">
        <f xml:space="preserve"> Time!G$51</f>
        <v>flag</v>
      </c>
      <c r="H123" s="98">
        <f xml:space="preserve"> Time!H$51</f>
        <v>1</v>
      </c>
      <c r="I123" s="98">
        <f xml:space="preserve"> Time!I$51</f>
        <v>0</v>
      </c>
      <c r="J123" s="98">
        <f xml:space="preserve"> Time!J$51</f>
        <v>0</v>
      </c>
      <c r="K123" s="98">
        <f xml:space="preserve"> Time!K$51</f>
        <v>0</v>
      </c>
      <c r="L123" s="98">
        <f xml:space="preserve"> Time!L$51</f>
        <v>0</v>
      </c>
      <c r="M123" s="98">
        <f xml:space="preserve"> Time!M$51</f>
        <v>0</v>
      </c>
      <c r="N123" s="98">
        <f xml:space="preserve"> Time!N$51</f>
        <v>0</v>
      </c>
      <c r="O123" s="98">
        <f xml:space="preserve"> Time!O$51</f>
        <v>0</v>
      </c>
      <c r="P123" s="98">
        <f xml:space="preserve"> Time!P$51</f>
        <v>0</v>
      </c>
      <c r="Q123" s="98">
        <f xml:space="preserve"> Time!Q$51</f>
        <v>0</v>
      </c>
      <c r="R123" s="98">
        <f xml:space="preserve"> Time!R$51</f>
        <v>0</v>
      </c>
      <c r="S123" s="98">
        <f xml:space="preserve"> Time!S$51</f>
        <v>0</v>
      </c>
      <c r="T123" s="98">
        <f xml:space="preserve"> Time!T$51</f>
        <v>1</v>
      </c>
      <c r="U123" s="98">
        <f xml:space="preserve"> Time!U$51</f>
        <v>0</v>
      </c>
      <c r="V123" s="98">
        <f xml:space="preserve"> Time!V$51</f>
        <v>0</v>
      </c>
      <c r="W123" s="98">
        <f xml:space="preserve"> Time!W$51</f>
        <v>0</v>
      </c>
    </row>
    <row r="124" spans="1:23" ht="13.2" outlineLevel="1">
      <c r="B124" s="64"/>
      <c r="D124" s="159"/>
      <c r="E124" s="129" t="s">
        <v>424</v>
      </c>
      <c r="F124" s="101"/>
      <c r="G124" s="101" t="s">
        <v>97</v>
      </c>
      <c r="H124" s="93">
        <f xml:space="preserve"> SUM(J124:W124)</f>
        <v>0</v>
      </c>
      <c r="J124" s="193">
        <f xml:space="preserve"> J123 * ( I122 * J121 * (1 + $F120) )</f>
        <v>0</v>
      </c>
      <c r="K124" s="193">
        <f t="shared" ref="K124:W124" si="43" xml:space="preserve"> K123 * ( J122 * K121 * (1 + $F120) )</f>
        <v>0</v>
      </c>
      <c r="L124" s="193">
        <f t="shared" si="43"/>
        <v>0</v>
      </c>
      <c r="M124" s="193">
        <f t="shared" si="43"/>
        <v>0</v>
      </c>
      <c r="N124" s="193">
        <f t="shared" si="43"/>
        <v>0</v>
      </c>
      <c r="O124" s="193">
        <f t="shared" si="43"/>
        <v>0</v>
      </c>
      <c r="P124" s="193">
        <f t="shared" si="43"/>
        <v>0</v>
      </c>
      <c r="Q124" s="193">
        <f t="shared" si="43"/>
        <v>0</v>
      </c>
      <c r="R124" s="193">
        <f t="shared" si="43"/>
        <v>0</v>
      </c>
      <c r="S124" s="193">
        <f t="shared" si="43"/>
        <v>0</v>
      </c>
      <c r="T124" s="193">
        <f t="shared" si="43"/>
        <v>0</v>
      </c>
      <c r="U124" s="193">
        <f t="shared" si="43"/>
        <v>0</v>
      </c>
      <c r="V124" s="193">
        <f t="shared" si="43"/>
        <v>0</v>
      </c>
      <c r="W124" s="193">
        <f t="shared" si="43"/>
        <v>0</v>
      </c>
    </row>
    <row r="125" spans="1:23" ht="13.2" outlineLevel="1">
      <c r="B125" s="64"/>
      <c r="D125" s="159"/>
      <c r="E125" s="129"/>
      <c r="F125" s="101"/>
      <c r="G125" s="101"/>
      <c r="H125" s="101"/>
      <c r="J125" s="193"/>
      <c r="K125" s="193"/>
      <c r="L125" s="193"/>
      <c r="M125" s="193"/>
      <c r="N125" s="193"/>
      <c r="O125" s="193"/>
      <c r="P125" s="193"/>
      <c r="Q125" s="193"/>
      <c r="R125" s="193"/>
      <c r="S125" s="193"/>
      <c r="T125" s="193"/>
      <c r="U125" s="193"/>
      <c r="V125" s="193"/>
      <c r="W125" s="193"/>
    </row>
    <row r="126" spans="1:23" ht="13.2" outlineLevel="1">
      <c r="B126" s="64"/>
      <c r="D126" s="159"/>
      <c r="E126" s="101" t="str">
        <f t="shared" ref="E126:W126" si="44" xml:space="preserve"> E$118</f>
        <v>Value of year 4 main revenue adjustment at the end of AMP7 - WW-TTT</v>
      </c>
      <c r="F126" s="101">
        <f t="shared" si="44"/>
        <v>0</v>
      </c>
      <c r="G126" s="101" t="str">
        <f t="shared" si="44"/>
        <v>£m</v>
      </c>
      <c r="H126" s="93">
        <f t="shared" si="44"/>
        <v>0.93690501166182538</v>
      </c>
      <c r="I126" s="101">
        <f t="shared" si="44"/>
        <v>0</v>
      </c>
      <c r="J126" s="325">
        <f t="shared" si="44"/>
        <v>0</v>
      </c>
      <c r="K126" s="325">
        <f t="shared" si="44"/>
        <v>0</v>
      </c>
      <c r="L126" s="325">
        <f t="shared" si="44"/>
        <v>0</v>
      </c>
      <c r="M126" s="325">
        <f t="shared" si="44"/>
        <v>0</v>
      </c>
      <c r="N126" s="325">
        <f t="shared" si="44"/>
        <v>0</v>
      </c>
      <c r="O126" s="325">
        <f t="shared" si="44"/>
        <v>0</v>
      </c>
      <c r="P126" s="325">
        <f t="shared" si="44"/>
        <v>0</v>
      </c>
      <c r="Q126" s="325">
        <f t="shared" si="44"/>
        <v>0</v>
      </c>
      <c r="R126" s="325">
        <f t="shared" si="44"/>
        <v>0</v>
      </c>
      <c r="S126" s="325">
        <f t="shared" si="44"/>
        <v>0</v>
      </c>
      <c r="T126" s="325">
        <f t="shared" si="44"/>
        <v>0.93690501166182538</v>
      </c>
      <c r="U126" s="325">
        <f t="shared" si="44"/>
        <v>0</v>
      </c>
      <c r="V126" s="325">
        <f t="shared" si="44"/>
        <v>0</v>
      </c>
      <c r="W126" s="325">
        <f t="shared" si="44"/>
        <v>0</v>
      </c>
    </row>
    <row r="127" spans="1:23" ht="13.2" outlineLevel="1">
      <c r="B127" s="64"/>
      <c r="D127" s="159"/>
      <c r="E127" s="101" t="str">
        <f t="shared" ref="E127:W127" si="45" xml:space="preserve"> E$124</f>
        <v>Value of year 4 penalty adjustment at the end of AMP7 - WW-TTT</v>
      </c>
      <c r="F127" s="101">
        <f t="shared" si="45"/>
        <v>0</v>
      </c>
      <c r="G127" s="101" t="str">
        <f t="shared" si="45"/>
        <v>£m</v>
      </c>
      <c r="H127" s="93">
        <f t="shared" si="45"/>
        <v>0</v>
      </c>
      <c r="I127" s="101">
        <f t="shared" si="45"/>
        <v>0</v>
      </c>
      <c r="J127" s="193">
        <f t="shared" si="45"/>
        <v>0</v>
      </c>
      <c r="K127" s="193">
        <f t="shared" si="45"/>
        <v>0</v>
      </c>
      <c r="L127" s="193">
        <f t="shared" si="45"/>
        <v>0</v>
      </c>
      <c r="M127" s="193">
        <f t="shared" si="45"/>
        <v>0</v>
      </c>
      <c r="N127" s="193">
        <f t="shared" si="45"/>
        <v>0</v>
      </c>
      <c r="O127" s="193">
        <f t="shared" si="45"/>
        <v>0</v>
      </c>
      <c r="P127" s="193">
        <f t="shared" si="45"/>
        <v>0</v>
      </c>
      <c r="Q127" s="193">
        <f t="shared" si="45"/>
        <v>0</v>
      </c>
      <c r="R127" s="193">
        <f t="shared" si="45"/>
        <v>0</v>
      </c>
      <c r="S127" s="193">
        <f t="shared" si="45"/>
        <v>0</v>
      </c>
      <c r="T127" s="193">
        <f t="shared" si="45"/>
        <v>0</v>
      </c>
      <c r="U127" s="193">
        <f t="shared" si="45"/>
        <v>0</v>
      </c>
      <c r="V127" s="193">
        <f t="shared" si="45"/>
        <v>0</v>
      </c>
      <c r="W127" s="193">
        <f t="shared" si="45"/>
        <v>0</v>
      </c>
    </row>
    <row r="128" spans="1:23" ht="13.8" outlineLevel="1" thickBot="1">
      <c r="B128" s="64"/>
      <c r="D128" s="159"/>
      <c r="E128" s="287" t="s">
        <v>425</v>
      </c>
      <c r="F128" s="287"/>
      <c r="G128" s="287" t="s">
        <v>97</v>
      </c>
      <c r="H128" s="287">
        <f xml:space="preserve"> SUM(J128:W128)</f>
        <v>0.93690501166182538</v>
      </c>
      <c r="I128" s="287"/>
      <c r="J128" s="287">
        <f xml:space="preserve"> J126 + J127</f>
        <v>0</v>
      </c>
      <c r="K128" s="287">
        <f t="shared" ref="K128:W128" si="46" xml:space="preserve"> K126 + K127</f>
        <v>0</v>
      </c>
      <c r="L128" s="287">
        <f t="shared" si="46"/>
        <v>0</v>
      </c>
      <c r="M128" s="287">
        <f t="shared" si="46"/>
        <v>0</v>
      </c>
      <c r="N128" s="287">
        <f t="shared" si="46"/>
        <v>0</v>
      </c>
      <c r="O128" s="287">
        <f t="shared" si="46"/>
        <v>0</v>
      </c>
      <c r="P128" s="287">
        <f t="shared" si="46"/>
        <v>0</v>
      </c>
      <c r="Q128" s="287">
        <f t="shared" si="46"/>
        <v>0</v>
      </c>
      <c r="R128" s="287">
        <f t="shared" si="46"/>
        <v>0</v>
      </c>
      <c r="S128" s="287">
        <f t="shared" si="46"/>
        <v>0</v>
      </c>
      <c r="T128" s="287">
        <f t="shared" si="46"/>
        <v>0.93690501166182538</v>
      </c>
      <c r="U128" s="287">
        <f t="shared" si="46"/>
        <v>0</v>
      </c>
      <c r="V128" s="287">
        <f t="shared" si="46"/>
        <v>0</v>
      </c>
      <c r="W128" s="287">
        <f t="shared" si="46"/>
        <v>0</v>
      </c>
    </row>
    <row r="129" spans="1:23" ht="13.8" outlineLevel="1" thickTop="1">
      <c r="B129" s="64"/>
      <c r="D129" s="159"/>
      <c r="E129" s="153"/>
      <c r="F129" s="58"/>
      <c r="G129" s="58"/>
      <c r="H129" s="95"/>
      <c r="I129" s="58"/>
      <c r="J129" s="95"/>
      <c r="K129" s="95"/>
      <c r="L129" s="95"/>
      <c r="M129" s="95"/>
      <c r="N129" s="95"/>
      <c r="O129" s="95"/>
      <c r="P129" s="95"/>
      <c r="Q129" s="95"/>
      <c r="R129" s="95"/>
      <c r="S129" s="95"/>
      <c r="T129" s="95"/>
      <c r="U129" s="95"/>
      <c r="V129" s="6"/>
      <c r="W129" s="6"/>
    </row>
    <row r="130" spans="1:23" ht="13.2" outlineLevel="1">
      <c r="B130" s="64" t="s">
        <v>402</v>
      </c>
      <c r="D130" s="159"/>
      <c r="E130" s="129"/>
      <c r="F130" s="101"/>
      <c r="G130" s="101"/>
      <c r="H130" s="101"/>
      <c r="J130" s="101"/>
      <c r="K130" s="101"/>
      <c r="L130" s="101"/>
      <c r="M130" s="101"/>
      <c r="N130" s="101"/>
      <c r="O130" s="101"/>
      <c r="P130" s="101"/>
      <c r="Q130" s="101"/>
      <c r="R130" s="101"/>
      <c r="S130" s="101"/>
      <c r="T130" s="101"/>
      <c r="U130" s="101"/>
      <c r="V130" s="6"/>
      <c r="W130" s="6"/>
    </row>
    <row r="131" spans="1:23" ht="13.2" outlineLevel="1">
      <c r="B131" s="64"/>
      <c r="D131" s="159"/>
      <c r="E131" s="129"/>
      <c r="F131" s="101"/>
      <c r="G131" s="101"/>
      <c r="H131" s="101"/>
      <c r="J131" s="101"/>
      <c r="K131" s="101"/>
      <c r="L131" s="101"/>
      <c r="M131" s="101"/>
      <c r="N131" s="101"/>
      <c r="O131" s="101"/>
      <c r="P131" s="101"/>
      <c r="Q131" s="101"/>
      <c r="R131" s="101"/>
      <c r="S131" s="101"/>
      <c r="T131" s="101"/>
      <c r="U131" s="101"/>
      <c r="V131" s="6"/>
      <c r="W131" s="6"/>
    </row>
    <row r="132" spans="1:23" ht="13.2" outlineLevel="1">
      <c r="B132" s="64"/>
      <c r="D132" s="159"/>
      <c r="E132" s="296" t="str">
        <f xml:space="preserve"> E$44</f>
        <v>Revenue Imbalance  - WW-TTT</v>
      </c>
      <c r="F132" s="296">
        <f t="shared" ref="F132:W132" si="47" xml:space="preserve"> F$44</f>
        <v>0</v>
      </c>
      <c r="G132" s="296" t="str">
        <f t="shared" si="47"/>
        <v>£m</v>
      </c>
      <c r="H132" s="296">
        <f t="shared" si="47"/>
        <v>56.348041065829996</v>
      </c>
      <c r="I132" s="296">
        <f t="shared" si="47"/>
        <v>0</v>
      </c>
      <c r="J132" s="296">
        <f t="shared" si="47"/>
        <v>0</v>
      </c>
      <c r="K132" s="296">
        <f t="shared" si="47"/>
        <v>0</v>
      </c>
      <c r="L132" s="296">
        <f t="shared" si="47"/>
        <v>0</v>
      </c>
      <c r="M132" s="296">
        <f t="shared" si="47"/>
        <v>0</v>
      </c>
      <c r="N132" s="296">
        <f t="shared" si="47"/>
        <v>0</v>
      </c>
      <c r="O132" s="296">
        <f t="shared" si="47"/>
        <v>0</v>
      </c>
      <c r="P132" s="296">
        <f t="shared" si="47"/>
        <v>2.3560015530202776</v>
      </c>
      <c r="Q132" s="296">
        <f t="shared" si="47"/>
        <v>1.0997808557883673</v>
      </c>
      <c r="R132" s="296">
        <f t="shared" si="47"/>
        <v>1.2958461770229164</v>
      </c>
      <c r="S132" s="296">
        <f t="shared" si="47"/>
        <v>0.87358134809072396</v>
      </c>
      <c r="T132" s="296">
        <f t="shared" si="47"/>
        <v>50.722831131907711</v>
      </c>
      <c r="U132" s="296">
        <f t="shared" si="47"/>
        <v>0</v>
      </c>
      <c r="V132" s="296">
        <f t="shared" si="47"/>
        <v>0</v>
      </c>
      <c r="W132" s="296">
        <f t="shared" si="47"/>
        <v>0</v>
      </c>
    </row>
    <row r="133" spans="1:23" ht="13.2" outlineLevel="1">
      <c r="B133" s="64"/>
      <c r="D133" s="159"/>
      <c r="E133" s="206" t="str">
        <f t="shared" ref="E133:T133" si="48" xml:space="preserve"> E$86</f>
        <v>Penalty adjustment - WW-TTT</v>
      </c>
      <c r="F133" s="206">
        <f t="shared" si="48"/>
        <v>0</v>
      </c>
      <c r="G133" s="206" t="str">
        <f t="shared" si="48"/>
        <v>£m</v>
      </c>
      <c r="H133" s="206">
        <f t="shared" si="48"/>
        <v>-1.6001675729727454</v>
      </c>
      <c r="I133" s="206">
        <f t="shared" si="48"/>
        <v>0</v>
      </c>
      <c r="J133" s="206">
        <f t="shared" si="48"/>
        <v>0</v>
      </c>
      <c r="K133" s="206">
        <f t="shared" si="48"/>
        <v>0</v>
      </c>
      <c r="L133" s="206">
        <f t="shared" si="48"/>
        <v>0</v>
      </c>
      <c r="M133" s="206">
        <f t="shared" si="48"/>
        <v>0</v>
      </c>
      <c r="N133" s="206">
        <f t="shared" si="48"/>
        <v>0</v>
      </c>
      <c r="O133" s="206">
        <f t="shared" si="48"/>
        <v>0</v>
      </c>
      <c r="P133" s="206">
        <f t="shared" si="48"/>
        <v>-7.0680046590608323E-2</v>
      </c>
      <c r="Q133" s="206">
        <f t="shared" si="48"/>
        <v>-1.7166401930293223E-3</v>
      </c>
      <c r="R133" s="206">
        <f t="shared" si="48"/>
        <v>-6.0859522318763726E-3</v>
      </c>
      <c r="S133" s="206">
        <f t="shared" si="48"/>
        <v>0</v>
      </c>
      <c r="T133" s="206">
        <f t="shared" si="48"/>
        <v>-1.5216849339572314</v>
      </c>
      <c r="U133" s="206">
        <f xml:space="preserve"> U$86</f>
        <v>0</v>
      </c>
      <c r="V133" s="206">
        <f xml:space="preserve"> V$86</f>
        <v>0</v>
      </c>
      <c r="W133" s="206">
        <f xml:space="preserve"> W$86</f>
        <v>0</v>
      </c>
    </row>
    <row r="134" spans="1:23" s="129" customFormat="1" ht="13.2" outlineLevel="1">
      <c r="A134" s="166"/>
      <c r="B134" s="166"/>
      <c r="C134" s="167"/>
      <c r="D134" s="75"/>
      <c r="E134" s="98" t="str">
        <f xml:space="preserve"> Time!E$51</f>
        <v>Forecast end period flag</v>
      </c>
      <c r="F134" s="98">
        <f xml:space="preserve"> Time!F$51</f>
        <v>0</v>
      </c>
      <c r="G134" s="98" t="str">
        <f xml:space="preserve"> Time!G$51</f>
        <v>flag</v>
      </c>
      <c r="H134" s="98">
        <f xml:space="preserve"> Time!H$51</f>
        <v>1</v>
      </c>
      <c r="I134" s="98">
        <f xml:space="preserve"> Time!I$51</f>
        <v>0</v>
      </c>
      <c r="J134" s="98">
        <f xml:space="preserve"> Time!J$51</f>
        <v>0</v>
      </c>
      <c r="K134" s="98">
        <f xml:space="preserve"> Time!K$51</f>
        <v>0</v>
      </c>
      <c r="L134" s="98">
        <f xml:space="preserve"> Time!L$51</f>
        <v>0</v>
      </c>
      <c r="M134" s="98">
        <f xml:space="preserve"> Time!M$51</f>
        <v>0</v>
      </c>
      <c r="N134" s="98">
        <f xml:space="preserve"> Time!N$51</f>
        <v>0</v>
      </c>
      <c r="O134" s="98">
        <f xml:space="preserve"> Time!O$51</f>
        <v>0</v>
      </c>
      <c r="P134" s="98">
        <f xml:space="preserve"> Time!P$51</f>
        <v>0</v>
      </c>
      <c r="Q134" s="98">
        <f xml:space="preserve"> Time!Q$51</f>
        <v>0</v>
      </c>
      <c r="R134" s="98">
        <f xml:space="preserve"> Time!R$51</f>
        <v>0</v>
      </c>
      <c r="S134" s="98">
        <f xml:space="preserve"> Time!S$51</f>
        <v>0</v>
      </c>
      <c r="T134" s="98">
        <f xml:space="preserve"> Time!T$51</f>
        <v>1</v>
      </c>
      <c r="U134" s="98">
        <f xml:space="preserve"> Time!U$51</f>
        <v>0</v>
      </c>
      <c r="V134" s="98">
        <f xml:space="preserve"> Time!V$51</f>
        <v>0</v>
      </c>
      <c r="W134" s="98">
        <f xml:space="preserve"> Time!W$51</f>
        <v>0</v>
      </c>
    </row>
    <row r="135" spans="1:23" ht="13.8" outlineLevel="1" thickBot="1">
      <c r="B135" s="64"/>
      <c r="D135" s="159"/>
      <c r="E135" s="287" t="s">
        <v>426</v>
      </c>
      <c r="F135" s="287"/>
      <c r="G135" s="287" t="s">
        <v>97</v>
      </c>
      <c r="H135" s="287">
        <f xml:space="preserve"> SUM(J135:W135)</f>
        <v>49.201146197950479</v>
      </c>
      <c r="I135" s="287"/>
      <c r="J135" s="287">
        <f xml:space="preserve"> ( J132 + J133 ) * J134</f>
        <v>0</v>
      </c>
      <c r="K135" s="287">
        <f t="shared" ref="K135:W135" si="49" xml:space="preserve"> ( K132 + K133 ) * K134</f>
        <v>0</v>
      </c>
      <c r="L135" s="287">
        <f t="shared" si="49"/>
        <v>0</v>
      </c>
      <c r="M135" s="287">
        <f t="shared" si="49"/>
        <v>0</v>
      </c>
      <c r="N135" s="287">
        <f t="shared" si="49"/>
        <v>0</v>
      </c>
      <c r="O135" s="287">
        <f t="shared" si="49"/>
        <v>0</v>
      </c>
      <c r="P135" s="287">
        <f t="shared" si="49"/>
        <v>0</v>
      </c>
      <c r="Q135" s="287">
        <f t="shared" si="49"/>
        <v>0</v>
      </c>
      <c r="R135" s="287">
        <f t="shared" si="49"/>
        <v>0</v>
      </c>
      <c r="S135" s="287">
        <f t="shared" si="49"/>
        <v>0</v>
      </c>
      <c r="T135" s="287">
        <f t="shared" si="49"/>
        <v>49.201146197950479</v>
      </c>
      <c r="U135" s="287">
        <f t="shared" si="49"/>
        <v>0</v>
      </c>
      <c r="V135" s="287">
        <f t="shared" si="49"/>
        <v>0</v>
      </c>
      <c r="W135" s="287">
        <f t="shared" si="49"/>
        <v>0</v>
      </c>
    </row>
    <row r="136" spans="1:23" ht="13.8" outlineLevel="1" thickTop="1">
      <c r="B136" s="64"/>
      <c r="D136" s="159"/>
      <c r="E136" s="153"/>
      <c r="F136" s="58"/>
      <c r="G136" s="58"/>
      <c r="H136" s="95"/>
      <c r="I136" s="58"/>
      <c r="J136" s="95"/>
      <c r="K136" s="95"/>
      <c r="L136" s="95"/>
      <c r="M136" s="95"/>
      <c r="N136" s="95"/>
      <c r="O136" s="95"/>
      <c r="P136" s="95"/>
      <c r="Q136" s="95"/>
      <c r="R136" s="95"/>
      <c r="S136" s="95"/>
      <c r="T136" s="95"/>
      <c r="U136" s="95"/>
      <c r="V136" s="95"/>
      <c r="W136" s="95"/>
    </row>
    <row r="137" spans="1:23" ht="13.2" outlineLevel="1">
      <c r="B137" s="64" t="s">
        <v>375</v>
      </c>
      <c r="D137" s="159"/>
      <c r="E137" s="129"/>
      <c r="F137" s="101"/>
      <c r="G137" s="101"/>
      <c r="H137" s="101"/>
      <c r="J137" s="101"/>
      <c r="K137" s="101"/>
      <c r="L137" s="101"/>
      <c r="M137" s="101"/>
      <c r="N137" s="101"/>
      <c r="O137" s="101"/>
      <c r="P137" s="101"/>
      <c r="Q137" s="101"/>
      <c r="R137" s="101"/>
      <c r="S137" s="101"/>
      <c r="T137" s="101"/>
      <c r="U137" s="101"/>
      <c r="V137" s="101"/>
      <c r="W137" s="101"/>
    </row>
    <row r="138" spans="1:23" ht="13.2" outlineLevel="1">
      <c r="B138" s="64"/>
      <c r="D138" s="159"/>
      <c r="E138" s="129"/>
      <c r="F138" s="101"/>
      <c r="G138" s="101"/>
      <c r="H138" s="101"/>
      <c r="J138" s="101"/>
      <c r="K138" s="101"/>
      <c r="L138" s="101"/>
      <c r="M138" s="101"/>
      <c r="N138" s="101"/>
      <c r="O138" s="101"/>
      <c r="P138" s="101"/>
      <c r="Q138" s="101"/>
      <c r="R138" s="101"/>
      <c r="S138" s="101"/>
      <c r="T138" s="101"/>
      <c r="U138" s="101"/>
      <c r="V138" s="101"/>
      <c r="W138" s="101"/>
    </row>
    <row r="139" spans="1:23" ht="13.2" outlineLevel="1">
      <c r="B139" s="64"/>
      <c r="D139" s="159"/>
      <c r="E139" s="93" t="str">
        <f t="shared" ref="E139:T139" si="50" xml:space="preserve"> E$128</f>
        <v>Value of year 4 RFI adjustments at the end of AMP7 - WW-TTT</v>
      </c>
      <c r="F139" s="93">
        <f t="shared" si="50"/>
        <v>0</v>
      </c>
      <c r="G139" s="93" t="str">
        <f t="shared" si="50"/>
        <v>£m</v>
      </c>
      <c r="H139" s="93">
        <f t="shared" si="50"/>
        <v>0.93690501166182538</v>
      </c>
      <c r="I139" s="93">
        <f t="shared" si="50"/>
        <v>0</v>
      </c>
      <c r="J139" s="93">
        <f t="shared" si="50"/>
        <v>0</v>
      </c>
      <c r="K139" s="93">
        <f t="shared" si="50"/>
        <v>0</v>
      </c>
      <c r="L139" s="93">
        <f t="shared" si="50"/>
        <v>0</v>
      </c>
      <c r="M139" s="93">
        <f t="shared" si="50"/>
        <v>0</v>
      </c>
      <c r="N139" s="93">
        <f t="shared" si="50"/>
        <v>0</v>
      </c>
      <c r="O139" s="93">
        <f t="shared" si="50"/>
        <v>0</v>
      </c>
      <c r="P139" s="93">
        <f t="shared" si="50"/>
        <v>0</v>
      </c>
      <c r="Q139" s="93">
        <f t="shared" si="50"/>
        <v>0</v>
      </c>
      <c r="R139" s="93">
        <f t="shared" si="50"/>
        <v>0</v>
      </c>
      <c r="S139" s="93">
        <f t="shared" si="50"/>
        <v>0</v>
      </c>
      <c r="T139" s="93">
        <f t="shared" si="50"/>
        <v>0.93690501166182538</v>
      </c>
      <c r="U139" s="93">
        <f xml:space="preserve"> U$128</f>
        <v>0</v>
      </c>
      <c r="V139" s="93">
        <f xml:space="preserve"> V$128</f>
        <v>0</v>
      </c>
      <c r="W139" s="93">
        <f xml:space="preserve"> W$128</f>
        <v>0</v>
      </c>
    </row>
    <row r="140" spans="1:23" ht="13.2" outlineLevel="1">
      <c r="B140" s="64"/>
      <c r="D140" s="159"/>
      <c r="E140" s="93" t="str">
        <f t="shared" ref="E140:T140" si="51" xml:space="preserve"> E$135</f>
        <v>Value of year 5 RFI adjustments at the end of AMP7 - WW-TTT</v>
      </c>
      <c r="F140" s="93">
        <f t="shared" si="51"/>
        <v>0</v>
      </c>
      <c r="G140" s="93" t="str">
        <f t="shared" si="51"/>
        <v>£m</v>
      </c>
      <c r="H140" s="93">
        <f t="shared" si="51"/>
        <v>49.201146197950479</v>
      </c>
      <c r="I140" s="93">
        <f t="shared" si="51"/>
        <v>0</v>
      </c>
      <c r="J140" s="93">
        <f t="shared" si="51"/>
        <v>0</v>
      </c>
      <c r="K140" s="93">
        <f t="shared" si="51"/>
        <v>0</v>
      </c>
      <c r="L140" s="93">
        <f t="shared" si="51"/>
        <v>0</v>
      </c>
      <c r="M140" s="93">
        <f t="shared" si="51"/>
        <v>0</v>
      </c>
      <c r="N140" s="93">
        <f t="shared" si="51"/>
        <v>0</v>
      </c>
      <c r="O140" s="93">
        <f t="shared" si="51"/>
        <v>0</v>
      </c>
      <c r="P140" s="93">
        <f t="shared" si="51"/>
        <v>0</v>
      </c>
      <c r="Q140" s="93">
        <f t="shared" si="51"/>
        <v>0</v>
      </c>
      <c r="R140" s="93">
        <f t="shared" si="51"/>
        <v>0</v>
      </c>
      <c r="S140" s="93">
        <f t="shared" si="51"/>
        <v>0</v>
      </c>
      <c r="T140" s="93">
        <f t="shared" si="51"/>
        <v>49.201146197950479</v>
      </c>
      <c r="U140" s="93">
        <f xml:space="preserve"> U$135</f>
        <v>0</v>
      </c>
      <c r="V140" s="93">
        <f xml:space="preserve"> V$135</f>
        <v>0</v>
      </c>
      <c r="W140" s="93">
        <f xml:space="preserve"> W$135</f>
        <v>0</v>
      </c>
    </row>
    <row r="141" spans="1:23" s="301" customFormat="1" ht="13.8" outlineLevel="1" thickBot="1">
      <c r="A141" s="297"/>
      <c r="B141" s="297"/>
      <c r="C141" s="298"/>
      <c r="D141" s="299"/>
      <c r="E141" s="300" t="s">
        <v>427</v>
      </c>
      <c r="F141" s="300"/>
      <c r="G141" s="300" t="s">
        <v>97</v>
      </c>
      <c r="H141" s="300">
        <f xml:space="preserve"> SUM(J141:W141)</f>
        <v>50.138051209612307</v>
      </c>
      <c r="I141" s="300"/>
      <c r="J141" s="300">
        <f xml:space="preserve"> J139 + J140</f>
        <v>0</v>
      </c>
      <c r="K141" s="300">
        <f t="shared" ref="K141:W141" si="52" xml:space="preserve"> K139 + K140</f>
        <v>0</v>
      </c>
      <c r="L141" s="300">
        <f t="shared" si="52"/>
        <v>0</v>
      </c>
      <c r="M141" s="300">
        <f t="shared" si="52"/>
        <v>0</v>
      </c>
      <c r="N141" s="300">
        <f t="shared" si="52"/>
        <v>0</v>
      </c>
      <c r="O141" s="300">
        <f t="shared" si="52"/>
        <v>0</v>
      </c>
      <c r="P141" s="300">
        <f t="shared" si="52"/>
        <v>0</v>
      </c>
      <c r="Q141" s="300">
        <f t="shared" si="52"/>
        <v>0</v>
      </c>
      <c r="R141" s="300">
        <f t="shared" si="52"/>
        <v>0</v>
      </c>
      <c r="S141" s="300">
        <f t="shared" si="52"/>
        <v>0</v>
      </c>
      <c r="T141" s="300">
        <f t="shared" si="52"/>
        <v>50.138051209612307</v>
      </c>
      <c r="U141" s="300">
        <f t="shared" si="52"/>
        <v>0</v>
      </c>
      <c r="V141" s="300">
        <f t="shared" si="52"/>
        <v>0</v>
      </c>
      <c r="W141" s="300">
        <f t="shared" si="52"/>
        <v>0</v>
      </c>
    </row>
    <row r="142" spans="1:23" ht="13.8" outlineLevel="1" thickTop="1">
      <c r="A142" s="63"/>
      <c r="C142" s="110"/>
      <c r="E142" s="74"/>
    </row>
    <row r="143" spans="1:23" ht="13.2" outlineLevel="1">
      <c r="A143" s="118" t="s">
        <v>232</v>
      </c>
      <c r="B143" s="118"/>
      <c r="C143" s="119"/>
      <c r="D143" s="120"/>
      <c r="E143" s="119"/>
      <c r="F143" s="121"/>
      <c r="G143" s="118"/>
      <c r="H143" s="118"/>
      <c r="I143" s="118"/>
      <c r="J143" s="118"/>
      <c r="K143" s="118"/>
      <c r="L143" s="118"/>
      <c r="M143" s="118"/>
      <c r="N143" s="118"/>
      <c r="O143" s="118"/>
      <c r="P143" s="118"/>
      <c r="Q143" s="118"/>
      <c r="R143" s="118"/>
      <c r="S143" s="118"/>
      <c r="T143" s="118"/>
      <c r="U143" s="118"/>
      <c r="V143" s="118"/>
      <c r="W143" s="118"/>
    </row>
    <row r="144" spans="1:23" s="84" customFormat="1" ht="13.2"/>
    <row r="148" spans="1:23" ht="13.35" hidden="1" customHeight="1"/>
    <row r="149" spans="1:23" ht="13.35" hidden="1" customHeight="1"/>
    <row r="150" spans="1:23" ht="13.35" hidden="1" customHeight="1"/>
    <row r="151" spans="1:23" ht="13.35" hidden="1" customHeight="1"/>
    <row r="152" spans="1:23" ht="13.35" hidden="1" customHeight="1"/>
    <row r="153" spans="1:23" ht="13.35" hidden="1" customHeight="1"/>
    <row r="154" spans="1:23" ht="13.35" hidden="1" customHeight="1"/>
    <row r="155" spans="1:23" ht="13.35" hidden="1" customHeight="1"/>
    <row r="156" spans="1:23" ht="13.35" hidden="1" customHeight="1">
      <c r="A156" s="6"/>
      <c r="B156" s="6"/>
      <c r="C156" s="6"/>
      <c r="D156" s="6"/>
      <c r="E156" s="6"/>
      <c r="F156" s="6"/>
      <c r="G156" s="6"/>
      <c r="H156" s="6"/>
      <c r="I156" s="6"/>
      <c r="J156" s="6"/>
      <c r="K156" s="6"/>
      <c r="L156" s="6"/>
      <c r="M156" s="6"/>
      <c r="N156" s="6"/>
      <c r="O156" s="6"/>
      <c r="P156" s="6"/>
      <c r="Q156" s="6"/>
      <c r="R156" s="6"/>
      <c r="S156" s="6"/>
      <c r="T156" s="6"/>
      <c r="U156" s="6"/>
      <c r="V156" s="6"/>
      <c r="W156" s="6"/>
    </row>
    <row r="157" spans="1:23" ht="13.35" hidden="1" customHeight="1">
      <c r="A157" s="6"/>
      <c r="B157" s="6"/>
      <c r="C157" s="6"/>
      <c r="D157" s="6"/>
      <c r="E157" s="6"/>
      <c r="F157" s="6"/>
      <c r="G157" s="6"/>
      <c r="H157" s="6"/>
      <c r="I157" s="6"/>
      <c r="J157" s="6"/>
      <c r="K157" s="6"/>
      <c r="L157" s="6"/>
      <c r="M157" s="6"/>
      <c r="N157" s="6"/>
      <c r="O157" s="6"/>
      <c r="P157" s="6"/>
      <c r="Q157" s="6"/>
      <c r="R157" s="6"/>
      <c r="S157" s="6"/>
      <c r="T157" s="6"/>
      <c r="U157" s="6"/>
      <c r="V157" s="6"/>
      <c r="W157" s="6"/>
    </row>
    <row r="158" spans="1:23" ht="13.35" hidden="1" customHeight="1">
      <c r="A158" s="6"/>
      <c r="B158" s="6"/>
      <c r="C158" s="6"/>
      <c r="D158" s="6"/>
      <c r="E158" s="6"/>
      <c r="F158" s="6"/>
      <c r="G158" s="6"/>
      <c r="H158" s="6"/>
      <c r="I158" s="6"/>
      <c r="J158" s="6"/>
      <c r="K158" s="6"/>
      <c r="L158" s="6"/>
      <c r="M158" s="6"/>
      <c r="N158" s="6"/>
      <c r="O158" s="6"/>
      <c r="P158" s="6"/>
      <c r="Q158" s="6"/>
      <c r="R158" s="6"/>
      <c r="S158" s="6"/>
      <c r="T158" s="6"/>
      <c r="U158" s="6"/>
      <c r="V158" s="6"/>
      <c r="W158" s="6"/>
    </row>
    <row r="159" spans="1:23" ht="13.35" hidden="1" customHeight="1">
      <c r="A159" s="6"/>
      <c r="B159" s="6"/>
      <c r="C159" s="6"/>
      <c r="D159" s="6"/>
      <c r="E159" s="6"/>
      <c r="F159" s="6"/>
      <c r="G159" s="6"/>
      <c r="H159" s="6"/>
      <c r="I159" s="6"/>
      <c r="J159" s="6"/>
      <c r="K159" s="6"/>
      <c r="L159" s="6"/>
      <c r="M159" s="6"/>
      <c r="N159" s="6"/>
      <c r="O159" s="6"/>
      <c r="P159" s="6"/>
      <c r="Q159" s="6"/>
      <c r="R159" s="6"/>
      <c r="S159" s="6"/>
      <c r="T159" s="6"/>
      <c r="U159" s="6"/>
      <c r="V159" s="6"/>
      <c r="W159" s="6"/>
    </row>
    <row r="160" spans="1:23" ht="13.35" hidden="1" customHeight="1">
      <c r="A160" s="6"/>
      <c r="B160" s="6"/>
      <c r="C160" s="6"/>
      <c r="D160" s="6"/>
      <c r="E160" s="6"/>
      <c r="F160" s="6"/>
      <c r="G160" s="6"/>
      <c r="H160" s="6"/>
      <c r="I160" s="6"/>
      <c r="J160" s="6"/>
      <c r="K160" s="6"/>
      <c r="L160" s="6"/>
      <c r="M160" s="6"/>
      <c r="N160" s="6"/>
      <c r="O160" s="6"/>
      <c r="P160" s="6"/>
      <c r="Q160" s="6"/>
      <c r="R160" s="6"/>
      <c r="S160" s="6"/>
      <c r="T160" s="6"/>
      <c r="U160" s="6"/>
      <c r="V160" s="6"/>
      <c r="W160" s="6"/>
    </row>
    <row r="161" s="6" customFormat="1" ht="13.35" hidden="1" customHeight="1"/>
    <row r="162" s="6" customFormat="1" ht="13.35" hidden="1" customHeight="1"/>
    <row r="163" s="6" customFormat="1" ht="13.35" hidden="1" customHeight="1"/>
    <row r="164" s="6" customFormat="1" ht="13.35" hidden="1" customHeight="1"/>
    <row r="165" s="6" customFormat="1" ht="13.35" hidden="1" customHeight="1"/>
    <row r="166" s="6" customFormat="1" ht="13.35" hidden="1" customHeight="1"/>
    <row r="167" s="6" customFormat="1" ht="13.35" hidden="1" customHeight="1"/>
    <row r="168" s="6" customFormat="1" ht="13.35" hidden="1" customHeight="1"/>
    <row r="169" s="6" customFormat="1" ht="13.35" hidden="1" customHeight="1"/>
    <row r="170" s="6" customFormat="1" ht="13.35" hidden="1" customHeight="1"/>
    <row r="171" s="6" customFormat="1" ht="13.35" hidden="1" customHeight="1"/>
    <row r="172" s="6" customFormat="1" ht="13.35" hidden="1" customHeight="1"/>
    <row r="173" s="6" customFormat="1" ht="13.35" hidden="1" customHeight="1"/>
    <row r="174" s="6" customFormat="1" ht="13.35" hidden="1" customHeight="1"/>
    <row r="175" s="6" customFormat="1" ht="13.35" hidden="1" customHeight="1"/>
    <row r="176" s="6" customFormat="1" ht="13.35" hidden="1" customHeight="1"/>
    <row r="177" s="6" customFormat="1" ht="13.35" hidden="1" customHeight="1"/>
    <row r="178" s="6" customFormat="1" ht="13.35" hidden="1" customHeight="1"/>
    <row r="179" s="6" customFormat="1" ht="13.35" hidden="1" customHeight="1"/>
    <row r="180" s="6" customFormat="1" ht="13.35" hidden="1" customHeight="1"/>
    <row r="181" s="6" customFormat="1" ht="13.35" hidden="1" customHeight="1"/>
    <row r="182" s="6" customFormat="1" ht="13.35" hidden="1" customHeight="1"/>
    <row r="183" s="6" customFormat="1" ht="13.35" hidden="1" customHeight="1"/>
    <row r="184" s="6" customFormat="1" ht="13.35" hidden="1" customHeight="1"/>
    <row r="185" s="6" customFormat="1" ht="13.35" hidden="1" customHeight="1"/>
    <row r="186" s="6" customFormat="1" ht="13.35" hidden="1" customHeight="1"/>
    <row r="187" s="6" customFormat="1" ht="13.35" hidden="1" customHeight="1"/>
    <row r="188" s="6" customFormat="1" ht="13.35" hidden="1" customHeight="1"/>
    <row r="189" s="6" customFormat="1" ht="13.35" hidden="1" customHeight="1"/>
    <row r="190" s="6" customFormat="1" ht="13.35" hidden="1" customHeight="1"/>
    <row r="191" s="6" customFormat="1" ht="13.35" hidden="1" customHeight="1"/>
    <row r="192" s="6" customFormat="1" ht="13.35" hidden="1" customHeight="1"/>
    <row r="193" s="6" customFormat="1" ht="13.35" hidden="1" customHeight="1"/>
    <row r="194" s="6" customFormat="1" ht="13.35" hidden="1" customHeight="1"/>
    <row r="195" s="6" customFormat="1" ht="13.35" hidden="1" customHeight="1"/>
    <row r="196" s="6" customFormat="1" ht="13.35" hidden="1" customHeight="1"/>
    <row r="197" s="6" customFormat="1" ht="13.35" hidden="1" customHeight="1"/>
    <row r="247" ht="13.2"/>
  </sheetData>
  <conditionalFormatting sqref="J101:W101">
    <cfRule type="cellIs" dxfId="41" priority="13" stopIfTrue="1" operator="notEqual">
      <formula>0</formula>
    </cfRule>
    <cfRule type="cellIs" dxfId="40" priority="14" stopIfTrue="1" operator="equal">
      <formula>""</formula>
    </cfRule>
  </conditionalFormatting>
  <conditionalFormatting sqref="V3:W3">
    <cfRule type="cellIs" dxfId="39" priority="10" operator="equal">
      <formula>#REF!</formula>
    </cfRule>
    <cfRule type="cellIs" dxfId="38" priority="11" stopIfTrue="1" operator="equal">
      <formula>#REF!</formula>
    </cfRule>
    <cfRule type="cellIs" dxfId="37" priority="12" stopIfTrue="1" operator="equal">
      <formula>#REF!</formula>
    </cfRule>
  </conditionalFormatting>
  <conditionalFormatting sqref="F101">
    <cfRule type="cellIs" dxfId="36" priority="5" stopIfTrue="1" operator="notEqual">
      <formula>0</formula>
    </cfRule>
    <cfRule type="cellIs" dxfId="35" priority="6" stopIfTrue="1" operator="equal">
      <formula>""</formula>
    </cfRule>
  </conditionalFormatting>
  <conditionalFormatting sqref="F2">
    <cfRule type="cellIs" dxfId="34" priority="3" stopIfTrue="1" operator="notEqual">
      <formula>0</formula>
    </cfRule>
    <cfRule type="cellIs" dxfId="33" priority="4" stopIfTrue="1" operator="equal">
      <formula>""</formula>
    </cfRule>
  </conditionalFormatting>
  <conditionalFormatting sqref="F3">
    <cfRule type="cellIs" dxfId="32" priority="1" stopIfTrue="1" operator="notEqual">
      <formula>0</formula>
    </cfRule>
    <cfRule type="cellIs" dxfId="31" priority="2" stopIfTrue="1" operator="equal">
      <formula>""</formula>
    </cfRule>
  </conditionalFormatting>
  <pageMargins left="0.7" right="0.7" top="0.75" bottom="0.75" header="0.3" footer="0.3"/>
  <pageSetup paperSize="9" scale="29"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8" stopIfTrue="1" operator="equal" id="{67D8D51C-AADD-46AA-828B-C492702156C9}">
            <xm:f xml:space="preserve"> Inputs!$F$20</xm:f>
            <x14:dxf>
              <fill>
                <patternFill>
                  <bgColor indexed="44"/>
                </patternFill>
              </fill>
            </x14:dxf>
          </x14:cfRule>
          <x14:cfRule type="cellIs" priority="9" stopIfTrue="1" operator="equal" id="{135AF51B-311A-4B76-B942-A2ECC4CE43C6}">
            <xm:f>Inputs!$F$19</xm:f>
            <x14:dxf>
              <fill>
                <patternFill>
                  <bgColor indexed="47"/>
                </patternFill>
              </fill>
            </x14:dxf>
          </x14:cfRule>
          <xm:sqref>J3:W3</xm:sqref>
        </x14:conditionalFormatting>
        <x14:conditionalFormatting xmlns:xm="http://schemas.microsoft.com/office/excel/2006/main">
          <x14:cfRule type="cellIs" priority="7" operator="equal" id="{77511268-DA79-4EA4-B488-D6DB168254BA}">
            <xm:f>Inputs!$F$21</xm:f>
            <x14:dxf>
              <fill>
                <patternFill>
                  <bgColor rgb="FFD9D9D9"/>
                </patternFill>
              </fill>
            </x14:dxf>
          </x14:cfRule>
          <xm:sqref>K3:W3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230C84200C2A45B9E5424ACE29EC77" ma:contentTypeVersion="10" ma:contentTypeDescription="Create a new document." ma:contentTypeScope="" ma:versionID="076d601f31bcdee6e50c8af4fed87728">
  <xsd:schema xmlns:xsd="http://www.w3.org/2001/XMLSchema" xmlns:xs="http://www.w3.org/2001/XMLSchema" xmlns:p="http://schemas.microsoft.com/office/2006/metadata/properties" xmlns:ns2="7643abea-3b3b-4668-acb3-ec181abd3b31" targetNamespace="http://schemas.microsoft.com/office/2006/metadata/properties" ma:root="true" ma:fieldsID="2e04d3c8d4cc07d0951c6ccdbb698b06" ns2:_="">
    <xsd:import namespace="7643abea-3b3b-4668-acb3-ec181abd3b31"/>
    <xsd:element name="properties">
      <xsd:complexType>
        <xsd:sequence>
          <xsd:element name="documentManagement">
            <xsd:complexType>
              <xsd:all>
                <xsd:element ref="ns2:Website_x003f_" minOccurs="0"/>
                <xsd:element ref="ns2:Ofwat_x003f_" minOccurs="0"/>
                <xsd:element ref="ns2:IIDStage" minOccurs="0"/>
                <xsd:element ref="ns2:Group" minOccurs="0"/>
                <xsd:element ref="ns2:Ofwatemailno" minOccurs="0"/>
                <xsd:element ref="ns2:Comments"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43abea-3b3b-4668-acb3-ec181abd3b31" elementFormDefault="qualified">
    <xsd:import namespace="http://schemas.microsoft.com/office/2006/documentManagement/types"/>
    <xsd:import namespace="http://schemas.microsoft.com/office/infopath/2007/PartnerControls"/>
    <xsd:element name="Website_x003f_" ma:index="8" nillable="true" ma:displayName="Website?" ma:format="Dropdown" ma:internalName="Website_x003f_">
      <xsd:simpleType>
        <xsd:restriction base="dms:Choice">
          <xsd:enumeration value="Yes"/>
          <xsd:enumeration value="No"/>
        </xsd:restriction>
      </xsd:simpleType>
    </xsd:element>
    <xsd:element name="Ofwat_x003f_" ma:index="9" nillable="true" ma:displayName="Ofwat?" ma:format="Dropdown" ma:internalName="Ofwat_x003f_">
      <xsd:simpleType>
        <xsd:restriction base="dms:Choice">
          <xsd:enumeration value="Yes"/>
          <xsd:enumeration value="No"/>
          <xsd:enumeration value="Link"/>
        </xsd:restriction>
      </xsd:simpleType>
    </xsd:element>
    <xsd:element name="IIDStage" ma:index="10" nillable="true" ma:displayName="IID Stage" ma:format="Dropdown" ma:internalName="IIDStage">
      <xsd:simpleType>
        <xsd:restriction base="dms:Choice">
          <xsd:enumeration value="Not Started"/>
          <xsd:enumeration value="Lead"/>
          <xsd:enumeration value="Verifier"/>
          <xsd:enumeration value="Owner"/>
          <xsd:enumeration value="Complete"/>
        </xsd:restriction>
      </xsd:simpleType>
    </xsd:element>
    <xsd:element name="Group" ma:index="11" nillable="true" ma:displayName="Group" ma:format="Dropdown" ma:internalName="Group">
      <xsd:simpleType>
        <xsd:restriction base="dms:Choice">
          <xsd:enumeration value="APR docs"/>
          <xsd:enumeration value="Econometrics"/>
          <xsd:enumeration value="Narrative"/>
          <xsd:enumeration value="Queries"/>
          <xsd:enumeration value="Data Requests"/>
          <xsd:enumeration value="Framework"/>
        </xsd:restriction>
      </xsd:simpleType>
    </xsd:element>
    <xsd:element name="Ofwatemailno" ma:index="12" nillable="true" ma:displayName="Ofwat email no" ma:format="Dropdown" ma:internalName="Ofwatemailno">
      <xsd:simpleType>
        <xsd:restriction base="dms:Text">
          <xsd:maxLength value="255"/>
        </xsd:restriction>
      </xsd:simpleType>
    </xsd:element>
    <xsd:element name="Comments" ma:index="13" nillable="true" ma:displayName="Comments" ma:format="Dropdown" ma:internalName="Comments">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ebsite_x003f_ xmlns="7643abea-3b3b-4668-acb3-ec181abd3b31">Yes</Website_x003f_>
    <Comments xmlns="7643abea-3b3b-4668-acb3-ec181abd3b31" xsi:nil="true"/>
    <Ofwat_x003f_ xmlns="7643abea-3b3b-4668-acb3-ec181abd3b31">Yes</Ofwat_x003f_>
    <Group xmlns="7643abea-3b3b-4668-acb3-ec181abd3b31" xsi:nil="true"/>
    <IIDStage xmlns="7643abea-3b3b-4668-acb3-ec181abd3b31" xsi:nil="true"/>
    <Ofwatemailno xmlns="7643abea-3b3b-4668-acb3-ec181abd3b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85A06-88AE-4C01-B794-3A50F3DD5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43abea-3b3b-4668-acb3-ec181abd3b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0FD729-AED1-44F4-9DFD-171BAF4A99E4}">
  <ds:schemaRefs>
    <ds:schemaRef ds:uri="http://schemas.microsoft.com/office/2006/metadata/properties"/>
    <ds:schemaRef ds:uri="http://schemas.microsoft.com/office/infopath/2007/PartnerControls"/>
    <ds:schemaRef ds:uri="7041854e-4853-44f9-9e63-23b7acad5461"/>
    <ds:schemaRef ds:uri="http://schemas.microsoft.com/sharepoint/v3"/>
    <ds:schemaRef ds:uri="7643abea-3b3b-4668-acb3-ec181abd3b31"/>
  </ds:schemaRefs>
</ds:datastoreItem>
</file>

<file path=customXml/itemProps3.xml><?xml version="1.0" encoding="utf-8"?>
<ds:datastoreItem xmlns:ds="http://schemas.openxmlformats.org/officeDocument/2006/customXml" ds:itemID="{CABC79AF-0616-498D-9133-B9D6C44327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vt:lpstr>
      <vt:lpstr>Model formatting</vt:lpstr>
      <vt:lpstr>ToC</vt:lpstr>
      <vt:lpstr>Inputs</vt:lpstr>
      <vt:lpstr>Time</vt:lpstr>
      <vt:lpstr>Indices and K factor</vt:lpstr>
      <vt:lpstr>Wholesale Water</vt:lpstr>
      <vt:lpstr>Wastewater Network-Plus</vt:lpstr>
      <vt:lpstr>Wastewater TTT</vt:lpstr>
      <vt:lpstr>F_Outputs</vt:lpstr>
      <vt:lpstr>Check</vt:lpstr>
      <vt:lpstr>Chk_Tol</vt:lpstr>
      <vt:lpstr>Trk_Tol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2023-04-26T12:38:44Z</dcterms:created>
  <dcterms:modified xsi:type="dcterms:W3CDTF">2025-07-10T10:26:16Z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eting">
    <vt:lpwstr/>
  </property>
  <property fmtid="{D5CDD505-2E9C-101B-9397-08002B2CF9AE}" pid="3" name="Stakeholder 2">
    <vt:lpwstr/>
  </property>
  <property fmtid="{D5CDD505-2E9C-101B-9397-08002B2CF9AE}" pid="4" name="ContentTypeId">
    <vt:lpwstr>0x01010078230C84200C2A45B9E5424ACE29EC77</vt:lpwstr>
  </property>
  <property fmtid="{D5CDD505-2E9C-101B-9397-08002B2CF9AE}" pid="5" name="Hierarchy">
    <vt:lpwstr/>
  </property>
  <property fmtid="{D5CDD505-2E9C-101B-9397-08002B2CF9AE}" pid="6" name="Collection">
    <vt:lpwstr/>
  </property>
  <property fmtid="{D5CDD505-2E9C-101B-9397-08002B2CF9AE}" pid="7" name="Stakeholder 5">
    <vt:lpwstr/>
  </property>
  <property fmtid="{D5CDD505-2E9C-101B-9397-08002B2CF9AE}" pid="8" name="Project Code">
    <vt:lpwstr>1896;#Company performance monitoring ＆ engagement|3cbb2248-aeb0-4f5e-8833-d72f52afb8f0</vt:lpwstr>
  </property>
  <property fmtid="{D5CDD505-2E9C-101B-9397-08002B2CF9AE}" pid="9" name="Stakeholder 3">
    <vt:lpwstr/>
  </property>
  <property fmtid="{D5CDD505-2E9C-101B-9397-08002B2CF9AE}" pid="10" name="Stakeholder">
    <vt:lpwstr>25;#Water and wastewater companies (WaSCs)|1f450446-47d1-4fe9-8d64-c249a3be1897</vt:lpwstr>
  </property>
  <property fmtid="{D5CDD505-2E9C-101B-9397-08002B2CF9AE}" pid="11" name="Security Classification">
    <vt:lpwstr>21;#OFFICIAL|c2540f30-f875-494b-a43f-ebfb5017a6ad</vt:lpwstr>
  </property>
  <property fmtid="{D5CDD505-2E9C-101B-9397-08002B2CF9AE}" pid="12" name="Stakeholder 4">
    <vt:lpwstr/>
  </property>
</Properties>
</file>