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ameswater-my.sharepoint.com/personal/laura_dewey_thameswater_co_uk/Documents/Desktop/annual results/current plans/"/>
    </mc:Choice>
  </mc:AlternateContent>
  <xr:revisionPtr revIDLastSave="0" documentId="8_{F817979E-FA74-4278-A787-AC50DB340F8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ounters Creek" sheetId="1" r:id="rId1"/>
    <sheet name="AMP6 opex" sheetId="2" r:id="rId2"/>
    <sheet name="AMP 6 capex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2" i="1" l="1"/>
  <c r="K9" i="1" l="1"/>
  <c r="I30" i="1"/>
  <c r="H45" i="1"/>
  <c r="I31" i="1"/>
  <c r="G45" i="1" s="1"/>
  <c r="I45" i="1" s="1"/>
  <c r="J9" i="1"/>
  <c r="I9" i="1"/>
  <c r="H9" i="1"/>
  <c r="G9" i="1"/>
  <c r="L9" i="1" s="1"/>
  <c r="D23" i="3"/>
  <c r="H23" i="3" s="1"/>
  <c r="D21" i="3"/>
  <c r="D24" i="3" s="1"/>
  <c r="G20" i="3"/>
  <c r="F20" i="3"/>
  <c r="H20" i="3" s="1"/>
  <c r="G19" i="3"/>
  <c r="F19" i="3"/>
  <c r="E19" i="3"/>
  <c r="H19" i="3" s="1"/>
  <c r="G18" i="3"/>
  <c r="G21" i="3"/>
  <c r="G24" i="3"/>
  <c r="F18" i="3"/>
  <c r="E18" i="3"/>
  <c r="H18" i="3" s="1"/>
  <c r="F17" i="3"/>
  <c r="F21" i="3" s="1"/>
  <c r="F24" i="3" s="1"/>
  <c r="E17" i="3"/>
  <c r="E21" i="3"/>
  <c r="E24" i="3" s="1"/>
  <c r="H16" i="3"/>
  <c r="H10" i="3"/>
  <c r="K10" i="1"/>
  <c r="G10" i="3"/>
  <c r="J10" i="1" s="1"/>
  <c r="J11" i="1" s="1"/>
  <c r="F10" i="3"/>
  <c r="I10" i="1"/>
  <c r="I11" i="1" s="1"/>
  <c r="E10" i="3"/>
  <c r="H10" i="1"/>
  <c r="D10" i="3"/>
  <c r="G10" i="1"/>
  <c r="G11" i="1" s="1"/>
  <c r="I9" i="3"/>
  <c r="I8" i="3"/>
  <c r="I7" i="3"/>
  <c r="I6" i="3"/>
  <c r="I10" i="3" s="1"/>
  <c r="I5" i="3"/>
  <c r="H17" i="3"/>
  <c r="H21" i="3" s="1"/>
  <c r="H24" i="3" s="1"/>
  <c r="H47" i="1"/>
  <c r="K17" i="1"/>
  <c r="J17" i="1"/>
  <c r="I17" i="1"/>
  <c r="H17" i="1"/>
  <c r="G17" i="1"/>
  <c r="L17" i="1" s="1"/>
  <c r="K14" i="1"/>
  <c r="J14" i="1"/>
  <c r="I14" i="1"/>
  <c r="H14" i="1"/>
  <c r="L14" i="1" s="1"/>
  <c r="G14" i="1"/>
  <c r="L18" i="1"/>
  <c r="L15" i="1"/>
  <c r="L10" i="1" l="1"/>
  <c r="H11" i="1"/>
  <c r="H20" i="1" s="1"/>
  <c r="K11" i="1"/>
  <c r="K12" i="1"/>
  <c r="K20" i="1"/>
  <c r="K23" i="1"/>
  <c r="G23" i="1"/>
  <c r="G20" i="1"/>
  <c r="G12" i="1"/>
  <c r="L11" i="1"/>
  <c r="H12" i="1"/>
  <c r="H23" i="1"/>
  <c r="I20" i="1"/>
  <c r="I12" i="1"/>
  <c r="I23" i="1"/>
  <c r="J20" i="1"/>
  <c r="J12" i="1"/>
  <c r="J23" i="1"/>
  <c r="I21" i="1" l="1"/>
  <c r="I24" i="1"/>
  <c r="I41" i="1" s="1"/>
  <c r="G21" i="1"/>
  <c r="L12" i="1"/>
  <c r="G24" i="1"/>
  <c r="L23" i="1"/>
  <c r="J21" i="1"/>
  <c r="J24" i="1"/>
  <c r="J41" i="1" s="1"/>
  <c r="H21" i="1"/>
  <c r="H24" i="1"/>
  <c r="H41" i="1" s="1"/>
  <c r="L20" i="1"/>
  <c r="K24" i="1"/>
  <c r="K41" i="1" s="1"/>
  <c r="K21" i="1"/>
  <c r="G41" i="1" l="1"/>
  <c r="G42" i="1" s="1"/>
  <c r="H42" i="1" s="1"/>
  <c r="I42" i="1" s="1"/>
  <c r="J42" i="1" s="1"/>
  <c r="K42" i="1" s="1"/>
  <c r="G46" i="1" s="1"/>
  <c r="L24" i="1"/>
  <c r="L21" i="1"/>
  <c r="I46" i="1" l="1"/>
  <c r="I47" i="1" s="1"/>
  <c r="G47" i="1"/>
</calcChain>
</file>

<file path=xl/sharedStrings.xml><?xml version="1.0" encoding="utf-8"?>
<sst xmlns="http://schemas.openxmlformats.org/spreadsheetml/2006/main" count="102" uniqueCount="55">
  <si>
    <t>Total</t>
  </si>
  <si>
    <t>Source</t>
  </si>
  <si>
    <t>Counters Creek capex forecast (June 2018)</t>
  </si>
  <si>
    <t>Outturn prices</t>
  </si>
  <si>
    <t>Year average RPI (rebased to 2012/13)</t>
  </si>
  <si>
    <t>Actuals to 2017/18, then TW forecast (April 2018 consensus)</t>
  </si>
  <si>
    <t>2012/13 prices</t>
  </si>
  <si>
    <t>Actual vs Baseline</t>
  </si>
  <si>
    <t>Actual vs Allowance</t>
  </si>
  <si>
    <t>Wholesale WACC</t>
  </si>
  <si>
    <t>Sewerage: revenue adjustment</t>
  </si>
  <si>
    <t>Sewerage: RCV adjustment</t>
  </si>
  <si>
    <t>Increase actual totex spend by £140m, to match underlying baseline</t>
  </si>
  <si>
    <t>Base case (no Counters Creek adjustments)</t>
  </si>
  <si>
    <t>Delta</t>
  </si>
  <si>
    <t>The RCV is driven by the allowance.</t>
  </si>
  <si>
    <t>RCV log-down</t>
  </si>
  <si>
    <t>Actual vs allowance</t>
  </si>
  <si>
    <t>Time value of money done in the same way as for the totex true-up in the totex reconciliation model (see e.g. Calcs tab row 171)</t>
  </si>
  <si>
    <t>These should be reversed, i.e. exclude the impact of outperformance.</t>
  </si>
  <si>
    <t>Totex reconciliation model</t>
  </si>
  <si>
    <t>Total impact</t>
  </si>
  <si>
    <t>Adjust totex reconciliation output</t>
  </si>
  <si>
    <t>Midnight RCV adjustment</t>
  </si>
  <si>
    <t>AMP7 Revenue adjustment</t>
  </si>
  <si>
    <t>PR14 FD</t>
  </si>
  <si>
    <t>Cumulative actual vs allowance, including time value of money</t>
  </si>
  <si>
    <t>Counters Creek key inputs</t>
  </si>
  <si>
    <t>Therefore, adjust the allowance for the time value of money to generate the required true-up</t>
  </si>
  <si>
    <t>Counters Creek AMP6 OPEX Forecast spend:</t>
  </si>
  <si>
    <t>In £m</t>
  </si>
  <si>
    <t>Yr 1</t>
  </si>
  <si>
    <t>Yr 2</t>
  </si>
  <si>
    <t>Yr 3</t>
  </si>
  <si>
    <t>Yr 4</t>
  </si>
  <si>
    <t>Yr 5</t>
  </si>
  <si>
    <t>Tunnel</t>
  </si>
  <si>
    <t>FLIPS</t>
  </si>
  <si>
    <t>SUDS / Local Schemes</t>
  </si>
  <si>
    <t>Tideway</t>
  </si>
  <si>
    <t>Counters Creek AMP6 Q1RF spend:</t>
  </si>
  <si>
    <t>AMP Total</t>
  </si>
  <si>
    <t>Project Team</t>
  </si>
  <si>
    <t>Risk</t>
  </si>
  <si>
    <t>Total Forecast</t>
  </si>
  <si>
    <t>FYI: Previous table used for budget:</t>
  </si>
  <si>
    <t>Costs to Yr 2</t>
  </si>
  <si>
    <t>Detailed Budget 2018 files</t>
  </si>
  <si>
    <t>Variance</t>
  </si>
  <si>
    <t>Counters Creek totex forecast (June 2018)</t>
  </si>
  <si>
    <t>FD Counters Creek totex baseline</t>
  </si>
  <si>
    <t>FD Counters Creek totex allowance</t>
  </si>
  <si>
    <t>Counters Creek opex forecast (June 2018)</t>
  </si>
  <si>
    <t>Therefore, the Counters Creek totex outperformance is generating £0.2m AMP7 revenue increase and -£67.3m RCV midnight adjustment.</t>
  </si>
  <si>
    <t>Adjustment approach: No ODI penalty; Adjust baseline in totex reconciliation model to remove outperformance impact; RCV log-down to remove excess totex allowed at the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</si>
</sst>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d\-mmm\-yy_*"/>
    <numFmt numFmtId="165" formatCode="#,##0.0_);\(#,##0.0\);\–_);&quot;–&quot;_)"/>
    <numFmt numFmtId="166" formatCode="#,##0.000_);\(#,##0.000\);\–_);&quot;–&quot;_)"/>
    <numFmt numFmtId="167" formatCode="#,##0.0%_);\(#,##0.0%\);\-_);@_)"/>
    <numFmt numFmtId="168" formatCode="0.0%_);\(0.0%\);&quot;–&quot;_)"/>
    <numFmt numFmtId="169" formatCode="_-* #,##0.0_-;\(#,##0.0\)_-;_-* &quot;-&quot;??_-;_-@_-"/>
    <numFmt numFmtId="170" formatCode="#,##0.0;\(#,##0.0\)"/>
    <numFmt numFmtId="171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ill="0" applyBorder="0" applyProtection="0">
      <alignment horizontal="right"/>
    </xf>
    <xf numFmtId="0" fontId="5" fillId="0" borderId="0"/>
    <xf numFmtId="167" fontId="3" fillId="0" borderId="0" applyProtection="0"/>
    <xf numFmtId="0" fontId="8" fillId="0" borderId="0"/>
    <xf numFmtId="43" fontId="1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164" fontId="4" fillId="2" borderId="0" xfId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0" fontId="4" fillId="2" borderId="0" xfId="2" applyFont="1" applyFill="1" applyAlignment="1">
      <alignment horizontal="left"/>
    </xf>
    <xf numFmtId="165" fontId="6" fillId="3" borderId="0" xfId="2" applyNumberFormat="1" applyFont="1" applyFill="1" applyBorder="1"/>
    <xf numFmtId="165" fontId="7" fillId="0" borderId="0" xfId="2" applyNumberFormat="1" applyFont="1"/>
    <xf numFmtId="0" fontId="5" fillId="0" borderId="0" xfId="2"/>
    <xf numFmtId="166" fontId="6" fillId="3" borderId="0" xfId="2" applyNumberFormat="1" applyFont="1" applyFill="1" applyBorder="1"/>
    <xf numFmtId="165" fontId="8" fillId="0" borderId="0" xfId="2" applyNumberFormat="1" applyFont="1" applyFill="1" applyBorder="1"/>
    <xf numFmtId="168" fontId="6" fillId="4" borderId="0" xfId="3" applyNumberFormat="1" applyFont="1" applyFill="1" applyAlignment="1">
      <alignment horizontal="right"/>
    </xf>
    <xf numFmtId="0" fontId="9" fillId="5" borderId="0" xfId="0" applyFont="1" applyFill="1" applyAlignment="1">
      <alignment vertical="center" wrapText="1"/>
    </xf>
    <xf numFmtId="0" fontId="0" fillId="5" borderId="0" xfId="0" applyFill="1"/>
    <xf numFmtId="0" fontId="9" fillId="5" borderId="0" xfId="0" applyFont="1" applyFill="1"/>
    <xf numFmtId="164" fontId="7" fillId="5" borderId="0" xfId="1" applyFont="1" applyFill="1" applyBorder="1" applyAlignment="1">
      <alignment horizontal="right"/>
    </xf>
    <xf numFmtId="0" fontId="0" fillId="0" borderId="1" xfId="0" applyBorder="1"/>
    <xf numFmtId="165" fontId="6" fillId="3" borderId="1" xfId="2" applyNumberFormat="1" applyFont="1" applyFill="1" applyBorder="1"/>
    <xf numFmtId="165" fontId="8" fillId="0" borderId="1" xfId="2" applyNumberFormat="1" applyFont="1" applyFill="1" applyBorder="1"/>
    <xf numFmtId="0" fontId="9" fillId="5" borderId="0" xfId="0" applyFont="1" applyFill="1" applyAlignment="1">
      <alignment horizontal="right" vertical="center" wrapText="1"/>
    </xf>
    <xf numFmtId="169" fontId="11" fillId="0" borderId="0" xfId="5" applyNumberFormat="1" applyFont="1"/>
    <xf numFmtId="169" fontId="12" fillId="0" borderId="0" xfId="5" applyNumberFormat="1" applyFont="1"/>
    <xf numFmtId="0" fontId="0" fillId="0" borderId="0" xfId="0" applyAlignment="1">
      <alignment vertical="center"/>
    </xf>
    <xf numFmtId="0" fontId="13" fillId="6" borderId="2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13" fillId="6" borderId="4" xfId="0" applyFont="1" applyFill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169" fontId="11" fillId="0" borderId="1" xfId="5" applyNumberFormat="1" applyFont="1" applyBorder="1"/>
    <xf numFmtId="0" fontId="9" fillId="0" borderId="0" xfId="0" applyFont="1"/>
    <xf numFmtId="169" fontId="9" fillId="0" borderId="0" xfId="5" applyNumberFormat="1" applyFont="1"/>
    <xf numFmtId="169" fontId="0" fillId="0" borderId="0" xfId="0" applyNumberFormat="1"/>
    <xf numFmtId="169" fontId="0" fillId="0" borderId="0" xfId="5" applyNumberFormat="1" applyFont="1"/>
    <xf numFmtId="170" fontId="0" fillId="0" borderId="0" xfId="5" applyNumberFormat="1" applyFont="1"/>
    <xf numFmtId="165" fontId="7" fillId="0" borderId="1" xfId="2" applyNumberFormat="1" applyFont="1" applyBorder="1"/>
    <xf numFmtId="166" fontId="8" fillId="0" borderId="0" xfId="2" applyNumberFormat="1" applyFont="1" applyFill="1" applyBorder="1"/>
    <xf numFmtId="171" fontId="14" fillId="0" borderId="6" xfId="0" applyNumberFormat="1" applyFont="1" applyBorder="1" applyAlignment="1">
      <alignment vertical="center"/>
    </xf>
    <xf numFmtId="166" fontId="10" fillId="0" borderId="0" xfId="2" applyNumberFormat="1" applyFont="1" applyFill="1" applyBorder="1"/>
  </cellXfs>
  <cellStyles count="7">
    <cellStyle name="Comma" xfId="5" builtinId="3"/>
    <cellStyle name="Normal" xfId="0" builtinId="0"/>
    <cellStyle name="Normal 3" xfId="2" xr:uid="{00000000-0005-0000-0000-000002000000}"/>
    <cellStyle name="Normal 3 8" xfId="6" xr:uid="{00000000-0005-0000-0000-000003000000}"/>
    <cellStyle name="Normal 4 2" xfId="4" xr:uid="{00000000-0005-0000-0000-000004000000}"/>
    <cellStyle name="Std_%1" xfId="3" xr:uid="{00000000-0005-0000-0000-000005000000}"/>
    <cellStyle name="Std_Date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C4:N47"/>
  <sheetViews>
    <sheetView showGridLines="0" tabSelected="1" topLeftCell="A16" zoomScale="90" zoomScaleNormal="90" workbookViewId="0">
      <selection activeCell="G7" sqref="G7"/>
    </sheetView>
  </sheetViews>
  <sheetFormatPr defaultRowHeight="14.5" x14ac:dyDescent="0.35"/>
  <cols>
    <col min="1" max="1" width="2.54296875" customWidth="1"/>
    <col min="2" max="2" width="3" customWidth="1"/>
    <col min="3" max="3" width="66" customWidth="1"/>
    <col min="4" max="4" width="15.81640625" customWidth="1"/>
    <col min="5" max="5" width="5.26953125" customWidth="1"/>
    <col min="7" max="7" width="21.453125" customWidth="1"/>
    <col min="8" max="8" width="20.81640625" customWidth="1"/>
    <col min="9" max="11" width="14.26953125" customWidth="1"/>
    <col min="12" max="12" width="12.7265625" customWidth="1"/>
    <col min="14" max="14" width="56.81640625" customWidth="1"/>
  </cols>
  <sheetData>
    <row r="4" spans="3:14" x14ac:dyDescent="0.35">
      <c r="C4" s="4" t="s">
        <v>27</v>
      </c>
      <c r="D4" s="3"/>
      <c r="E4" s="3"/>
      <c r="F4" s="3"/>
      <c r="G4" s="1">
        <v>42460</v>
      </c>
      <c r="H4" s="1">
        <v>42825</v>
      </c>
      <c r="I4" s="1">
        <v>43190</v>
      </c>
      <c r="J4" s="1">
        <v>43555</v>
      </c>
      <c r="K4" s="1">
        <v>43921</v>
      </c>
      <c r="L4" s="2" t="s">
        <v>0</v>
      </c>
      <c r="N4" s="5" t="s">
        <v>1</v>
      </c>
    </row>
    <row r="5" spans="3:14" x14ac:dyDescent="0.35">
      <c r="C5" s="8" t="s">
        <v>4</v>
      </c>
      <c r="D5" s="8"/>
      <c r="E5" s="8"/>
      <c r="F5" s="8"/>
      <c r="G5" s="9">
        <v>1.0603181090562313</v>
      </c>
      <c r="H5" s="9">
        <v>1.0830353189605262</v>
      </c>
      <c r="I5" s="9">
        <v>1.1235652736623414</v>
      </c>
      <c r="J5" s="9">
        <v>1.1598123360920951</v>
      </c>
      <c r="K5" s="9">
        <v>1.1937417492592217</v>
      </c>
      <c r="L5" s="8"/>
      <c r="M5" s="8"/>
      <c r="N5" s="8" t="s">
        <v>5</v>
      </c>
    </row>
    <row r="6" spans="3:14" x14ac:dyDescent="0.35">
      <c r="C6" s="8" t="s">
        <v>9</v>
      </c>
      <c r="D6" s="8"/>
      <c r="E6" s="8"/>
      <c r="F6" s="8"/>
      <c r="G6" s="11">
        <v>3.6000000000000004E-2</v>
      </c>
      <c r="H6" s="11">
        <v>3.6000000000000004E-2</v>
      </c>
      <c r="I6" s="11">
        <v>3.6000000000000004E-2</v>
      </c>
      <c r="J6" s="11">
        <v>3.6000000000000004E-2</v>
      </c>
      <c r="K6" s="11">
        <v>3.6000000000000004E-2</v>
      </c>
      <c r="L6" s="8"/>
      <c r="M6" s="8"/>
      <c r="N6" s="8" t="s">
        <v>25</v>
      </c>
    </row>
    <row r="7" spans="3:14" x14ac:dyDescent="0.35">
      <c r="C7" s="8"/>
      <c r="D7" s="8"/>
      <c r="E7" s="8"/>
      <c r="F7" s="8"/>
      <c r="L7" s="8"/>
      <c r="M7" s="8"/>
      <c r="N7" s="8"/>
    </row>
    <row r="9" spans="3:14" x14ac:dyDescent="0.35">
      <c r="C9" t="s">
        <v>52</v>
      </c>
      <c r="D9" t="s">
        <v>3</v>
      </c>
      <c r="G9" s="10">
        <f>'AMP6 opex'!D7</f>
        <v>0</v>
      </c>
      <c r="H9" s="10">
        <f>'AMP6 opex'!E7</f>
        <v>0.23749999999999999</v>
      </c>
      <c r="I9" s="10">
        <f>'AMP6 opex'!F7</f>
        <v>0.23749999999999999</v>
      </c>
      <c r="J9" s="10">
        <f>'AMP6 opex'!G7</f>
        <v>0.27750000000000002</v>
      </c>
      <c r="K9" s="10">
        <f>'AMP6 opex'!H7</f>
        <v>0.48499999999999999</v>
      </c>
      <c r="L9" s="7">
        <f t="shared" ref="L9:L21" si="0">SUM(G9:K9)</f>
        <v>1.2374999999999998</v>
      </c>
    </row>
    <row r="10" spans="3:14" x14ac:dyDescent="0.35">
      <c r="C10" s="16" t="s">
        <v>2</v>
      </c>
      <c r="D10" s="16" t="s">
        <v>3</v>
      </c>
      <c r="E10" s="16"/>
      <c r="F10" s="16"/>
      <c r="G10" s="18">
        <f>'AMP 6 capex'!D10</f>
        <v>15.734000000000002</v>
      </c>
      <c r="H10" s="18">
        <f>'AMP 6 capex'!E10</f>
        <v>18.986999999999998</v>
      </c>
      <c r="I10" s="18">
        <f>'AMP 6 capex'!F10</f>
        <v>9.5289442000000015</v>
      </c>
      <c r="J10" s="18">
        <f>'AMP 6 capex'!G10</f>
        <v>23.0757634</v>
      </c>
      <c r="K10" s="18">
        <f>'AMP 6 capex'!H10</f>
        <v>49.338000000000008</v>
      </c>
      <c r="L10" s="36">
        <f t="shared" si="0"/>
        <v>116.66370760000001</v>
      </c>
    </row>
    <row r="11" spans="3:14" x14ac:dyDescent="0.35">
      <c r="C11" t="s">
        <v>49</v>
      </c>
      <c r="D11" t="s">
        <v>3</v>
      </c>
      <c r="G11" s="10">
        <f>SUM(G9:G10)</f>
        <v>15.734000000000002</v>
      </c>
      <c r="H11" s="10">
        <f t="shared" ref="H11:K11" si="1">SUM(H9:H10)</f>
        <v>19.224499999999999</v>
      </c>
      <c r="I11" s="10">
        <f t="shared" si="1"/>
        <v>9.7664442000000022</v>
      </c>
      <c r="J11" s="10">
        <f t="shared" si="1"/>
        <v>23.353263399999999</v>
      </c>
      <c r="K11" s="10">
        <f t="shared" si="1"/>
        <v>49.823000000000008</v>
      </c>
      <c r="L11" s="7">
        <f t="shared" si="0"/>
        <v>117.90120760000001</v>
      </c>
    </row>
    <row r="12" spans="3:14" x14ac:dyDescent="0.35">
      <c r="C12" t="s">
        <v>49</v>
      </c>
      <c r="D12" t="s">
        <v>6</v>
      </c>
      <c r="G12" s="10">
        <f>G11/G5</f>
        <v>14.838943016831555</v>
      </c>
      <c r="H12" s="10">
        <f>H11/H5</f>
        <v>17.750575316833856</v>
      </c>
      <c r="I12" s="10">
        <f>I11/I5</f>
        <v>8.6923692187153296</v>
      </c>
      <c r="J12" s="10">
        <f>J11/J5</f>
        <v>20.135381107160107</v>
      </c>
      <c r="K12" s="10">
        <f>K11/K5</f>
        <v>41.736832971551635</v>
      </c>
      <c r="L12" s="7">
        <f t="shared" si="0"/>
        <v>103.15410163109249</v>
      </c>
    </row>
    <row r="14" spans="3:14" x14ac:dyDescent="0.35">
      <c r="C14" t="s">
        <v>50</v>
      </c>
      <c r="D14" t="s">
        <v>3</v>
      </c>
      <c r="G14" s="10">
        <f>G15*G$5</f>
        <v>19.190217154390893</v>
      </c>
      <c r="H14" s="10">
        <f>H15*H$5</f>
        <v>55.376323607233829</v>
      </c>
      <c r="I14" s="10">
        <f>I15*I$5</f>
        <v>79.384207498655783</v>
      </c>
      <c r="J14" s="10">
        <f>J15*J$5</f>
        <v>82.409405746191382</v>
      </c>
      <c r="K14" s="10">
        <f>K15*K$5</f>
        <v>19.450647893867909</v>
      </c>
      <c r="L14" s="7">
        <f t="shared" ref="L14" si="2">SUM(G14:K14)</f>
        <v>255.81080190033978</v>
      </c>
    </row>
    <row r="15" spans="3:14" x14ac:dyDescent="0.35">
      <c r="C15" t="s">
        <v>50</v>
      </c>
      <c r="D15" t="s">
        <v>6</v>
      </c>
      <c r="G15" s="6">
        <v>18.098547021395056</v>
      </c>
      <c r="H15" s="6">
        <v>51.130671952954245</v>
      </c>
      <c r="I15" s="6">
        <v>70.653845717300683</v>
      </c>
      <c r="J15" s="6">
        <v>71.054086235937092</v>
      </c>
      <c r="K15" s="6">
        <v>16.29384907241289</v>
      </c>
      <c r="L15" s="7">
        <f t="shared" si="0"/>
        <v>227.23099999999994</v>
      </c>
    </row>
    <row r="16" spans="3:14" x14ac:dyDescent="0.35">
      <c r="G16" s="10"/>
      <c r="H16" s="10"/>
      <c r="I16" s="10"/>
      <c r="J16" s="10"/>
      <c r="K16" s="10"/>
      <c r="L16" s="7"/>
    </row>
    <row r="17" spans="3:14" x14ac:dyDescent="0.35">
      <c r="C17" t="s">
        <v>51</v>
      </c>
      <c r="D17" t="s">
        <v>3</v>
      </c>
      <c r="G17" s="10">
        <f>G18*G$5</f>
        <v>19.094266068618939</v>
      </c>
      <c r="H17" s="10">
        <f>H18*H$5</f>
        <v>55.099441989197665</v>
      </c>
      <c r="I17" s="10">
        <f>I18*I$5</f>
        <v>78.987286461162512</v>
      </c>
      <c r="J17" s="10">
        <f>J18*J$5</f>
        <v>81.997358717460415</v>
      </c>
      <c r="K17" s="10">
        <f>K18*K$5</f>
        <v>19.353394654398571</v>
      </c>
      <c r="L17" s="7">
        <f t="shared" ref="L17" si="3">SUM(G17:K17)</f>
        <v>254.53174789083812</v>
      </c>
    </row>
    <row r="18" spans="3:14" x14ac:dyDescent="0.35">
      <c r="C18" t="s">
        <v>51</v>
      </c>
      <c r="D18" t="s">
        <v>6</v>
      </c>
      <c r="G18" s="6">
        <v>18.008054286288083</v>
      </c>
      <c r="H18" s="6">
        <v>50.875018593189473</v>
      </c>
      <c r="I18" s="6">
        <v>70.300576488714185</v>
      </c>
      <c r="J18" s="6">
        <v>70.698815804757402</v>
      </c>
      <c r="K18" s="6">
        <v>16.212379827050825</v>
      </c>
      <c r="L18" s="7">
        <f t="shared" si="0"/>
        <v>226.09484499999996</v>
      </c>
    </row>
    <row r="19" spans="3:14" x14ac:dyDescent="0.35">
      <c r="G19" s="10"/>
      <c r="H19" s="10"/>
      <c r="I19" s="10"/>
      <c r="J19" s="10"/>
      <c r="K19" s="10"/>
    </row>
    <row r="20" spans="3:14" x14ac:dyDescent="0.35">
      <c r="C20" t="s">
        <v>7</v>
      </c>
      <c r="D20" t="s">
        <v>3</v>
      </c>
      <c r="G20" s="10">
        <f>G11-G14</f>
        <v>-3.4562171543908917</v>
      </c>
      <c r="H20" s="10">
        <f t="shared" ref="H20:K20" si="4">H11-H14</f>
        <v>-36.15182360723383</v>
      </c>
      <c r="I20" s="10">
        <f t="shared" si="4"/>
        <v>-69.617763298655774</v>
      </c>
      <c r="J20" s="10">
        <f t="shared" si="4"/>
        <v>-59.056142346191379</v>
      </c>
      <c r="K20" s="10">
        <f t="shared" si="4"/>
        <v>30.372352106132098</v>
      </c>
      <c r="L20" s="7">
        <f t="shared" si="0"/>
        <v>-137.90959430033979</v>
      </c>
    </row>
    <row r="21" spans="3:14" x14ac:dyDescent="0.35">
      <c r="C21" t="s">
        <v>7</v>
      </c>
      <c r="D21" t="s">
        <v>6</v>
      </c>
      <c r="G21" s="10">
        <f t="shared" ref="G21:K21" si="5">G12-G15</f>
        <v>-3.2596040045635011</v>
      </c>
      <c r="H21" s="10">
        <f t="shared" si="5"/>
        <v>-33.380096636120385</v>
      </c>
      <c r="I21" s="10">
        <f t="shared" si="5"/>
        <v>-61.961476498585355</v>
      </c>
      <c r="J21" s="10">
        <f t="shared" si="5"/>
        <v>-50.918705128776985</v>
      </c>
      <c r="K21" s="10">
        <f t="shared" si="5"/>
        <v>25.442983899138746</v>
      </c>
      <c r="L21" s="7">
        <f t="shared" si="0"/>
        <v>-124.07689836890748</v>
      </c>
    </row>
    <row r="23" spans="3:14" x14ac:dyDescent="0.35">
      <c r="C23" t="s">
        <v>8</v>
      </c>
      <c r="D23" t="s">
        <v>3</v>
      </c>
      <c r="G23" s="10">
        <f>G11-G17</f>
        <v>-3.3602660686189374</v>
      </c>
      <c r="H23" s="10">
        <f t="shared" ref="H23:K23" si="6">H11-H17</f>
        <v>-35.874941989197666</v>
      </c>
      <c r="I23" s="10">
        <f t="shared" si="6"/>
        <v>-69.220842261162517</v>
      </c>
      <c r="J23" s="10">
        <f t="shared" si="6"/>
        <v>-58.644095317460412</v>
      </c>
      <c r="K23" s="10">
        <f t="shared" si="6"/>
        <v>30.469605345601437</v>
      </c>
      <c r="L23" s="7">
        <f t="shared" ref="L23:L24" si="7">SUM(G23:K23)</f>
        <v>-136.6305402908381</v>
      </c>
    </row>
    <row r="24" spans="3:14" x14ac:dyDescent="0.35">
      <c r="C24" t="s">
        <v>8</v>
      </c>
      <c r="D24" t="s">
        <v>6</v>
      </c>
      <c r="G24" s="10">
        <f t="shared" ref="G24:K24" si="8">G12-G18</f>
        <v>-3.1691112694565273</v>
      </c>
      <c r="H24" s="10">
        <f t="shared" si="8"/>
        <v>-33.12444327635562</v>
      </c>
      <c r="I24" s="10">
        <f t="shared" si="8"/>
        <v>-61.608207269998857</v>
      </c>
      <c r="J24" s="10">
        <f t="shared" si="8"/>
        <v>-50.563434697597295</v>
      </c>
      <c r="K24" s="10">
        <f t="shared" si="8"/>
        <v>25.524453144500811</v>
      </c>
      <c r="L24" s="7">
        <f t="shared" si="7"/>
        <v>-122.94074336890749</v>
      </c>
    </row>
    <row r="27" spans="3:14" x14ac:dyDescent="0.35">
      <c r="C27" s="4" t="s">
        <v>54</v>
      </c>
      <c r="D27" s="3"/>
      <c r="E27" s="3"/>
      <c r="F27" s="3"/>
      <c r="G27" s="3"/>
      <c r="H27" s="3"/>
      <c r="I27" s="3"/>
      <c r="J27" s="3"/>
      <c r="K27" s="3"/>
      <c r="L27" s="3"/>
      <c r="N27" s="5" t="s">
        <v>1</v>
      </c>
    </row>
    <row r="29" spans="3:14" ht="58" x14ac:dyDescent="0.35">
      <c r="C29" s="12" t="s">
        <v>20</v>
      </c>
      <c r="D29" s="12"/>
      <c r="E29" s="12"/>
      <c r="F29" s="12"/>
      <c r="G29" s="19" t="s">
        <v>13</v>
      </c>
      <c r="H29" s="19" t="s">
        <v>12</v>
      </c>
      <c r="I29" s="19" t="s">
        <v>14</v>
      </c>
    </row>
    <row r="30" spans="3:14" x14ac:dyDescent="0.35">
      <c r="C30" t="s">
        <v>10</v>
      </c>
      <c r="D30" t="s">
        <v>6</v>
      </c>
      <c r="G30" s="6">
        <v>2.7246758993562352</v>
      </c>
      <c r="H30" s="6">
        <v>2.531894356012856</v>
      </c>
      <c r="I30" s="37">
        <f>G30-H30</f>
        <v>0.19278154334337927</v>
      </c>
    </row>
    <row r="31" spans="3:14" x14ac:dyDescent="0.35">
      <c r="C31" t="s">
        <v>11</v>
      </c>
      <c r="D31" t="s">
        <v>6</v>
      </c>
      <c r="G31" s="6">
        <v>31.474578328295905</v>
      </c>
      <c r="H31" s="6">
        <v>98.795616749537203</v>
      </c>
      <c r="I31" s="37">
        <f>G31-H31</f>
        <v>-67.321038421241298</v>
      </c>
    </row>
    <row r="33" spans="3:14" x14ac:dyDescent="0.35">
      <c r="C33" t="s">
        <v>53</v>
      </c>
    </row>
    <row r="34" spans="3:14" x14ac:dyDescent="0.35">
      <c r="C34" t="s">
        <v>19</v>
      </c>
    </row>
    <row r="36" spans="3:14" x14ac:dyDescent="0.35">
      <c r="C36" s="14" t="s">
        <v>16</v>
      </c>
      <c r="D36" s="13"/>
      <c r="E36" s="13"/>
      <c r="F36" s="13"/>
      <c r="G36" s="15">
        <v>42460</v>
      </c>
      <c r="H36" s="15">
        <v>42825</v>
      </c>
      <c r="I36" s="15">
        <v>43190</v>
      </c>
      <c r="J36" s="15">
        <v>43555</v>
      </c>
      <c r="K36" s="15">
        <v>43921</v>
      </c>
    </row>
    <row r="37" spans="3:14" x14ac:dyDescent="0.35">
      <c r="C37" t="s">
        <v>15</v>
      </c>
    </row>
    <row r="38" spans="3:14" x14ac:dyDescent="0.35">
      <c r="C38" t="s">
        <v>28</v>
      </c>
    </row>
    <row r="39" spans="3:14" x14ac:dyDescent="0.35">
      <c r="C39" t="s">
        <v>18</v>
      </c>
    </row>
    <row r="41" spans="3:14" x14ac:dyDescent="0.35">
      <c r="C41" t="s">
        <v>17</v>
      </c>
      <c r="D41" t="s">
        <v>6</v>
      </c>
      <c r="G41" s="37">
        <f>G24</f>
        <v>-3.1691112694565273</v>
      </c>
      <c r="H41" s="37">
        <f t="shared" ref="H41:K41" si="9">H24</f>
        <v>-33.12444327635562</v>
      </c>
      <c r="I41" s="37">
        <f t="shared" si="9"/>
        <v>-61.608207269998857</v>
      </c>
      <c r="J41" s="37">
        <f t="shared" si="9"/>
        <v>-50.563434697597295</v>
      </c>
      <c r="K41" s="37">
        <f t="shared" si="9"/>
        <v>25.524453144500811</v>
      </c>
    </row>
    <row r="42" spans="3:14" x14ac:dyDescent="0.35">
      <c r="C42" t="s">
        <v>26</v>
      </c>
      <c r="D42" t="s">
        <v>6</v>
      </c>
      <c r="G42" s="39">
        <f>G41</f>
        <v>-3.1691112694565273</v>
      </c>
      <c r="H42" s="37">
        <f>H41+G42*(1+H$6)</f>
        <v>-36.407642551512581</v>
      </c>
      <c r="I42" s="37">
        <f t="shared" ref="I42:K42" si="10">I41+H42*(1+I$6)</f>
        <v>-99.32652495336589</v>
      </c>
      <c r="J42" s="37">
        <f t="shared" si="10"/>
        <v>-153.46571454928437</v>
      </c>
      <c r="K42" s="37">
        <f t="shared" si="10"/>
        <v>-133.46602712855781</v>
      </c>
      <c r="N42" t="str">
        <f ca="1">CELL("filename")</f>
        <v>https://thameswater-my.sharepoint.com/personal/laura_dewey_thameswater_co_uk/Documents/Desktop/annual results/current plans/[180613-counters-creek-adjustments.xlsx]Counters Creek</v>
      </c>
    </row>
    <row r="43" spans="3:14" x14ac:dyDescent="0.35">
      <c r="K43" s="37"/>
    </row>
    <row r="44" spans="3:14" ht="29" x14ac:dyDescent="0.35">
      <c r="C44" s="12" t="s">
        <v>21</v>
      </c>
      <c r="D44" s="12"/>
      <c r="E44" s="12"/>
      <c r="F44" s="12"/>
      <c r="G44" s="19" t="s">
        <v>23</v>
      </c>
      <c r="H44" s="19" t="s">
        <v>24</v>
      </c>
      <c r="I44" s="19" t="s">
        <v>0</v>
      </c>
    </row>
    <row r="45" spans="3:14" x14ac:dyDescent="0.35">
      <c r="C45" t="s">
        <v>22</v>
      </c>
      <c r="D45" t="s">
        <v>6</v>
      </c>
      <c r="G45" s="10">
        <f>-I31</f>
        <v>67.321038421241298</v>
      </c>
      <c r="H45" s="10">
        <f>-I30</f>
        <v>-0.19278154334337927</v>
      </c>
      <c r="I45" s="10">
        <f>SUM(G45:H45)</f>
        <v>67.128256877897911</v>
      </c>
    </row>
    <row r="46" spans="3:14" x14ac:dyDescent="0.35">
      <c r="C46" s="16" t="s">
        <v>16</v>
      </c>
      <c r="D46" s="16" t="s">
        <v>6</v>
      </c>
      <c r="E46" s="16"/>
      <c r="F46" s="16"/>
      <c r="G46" s="18">
        <f>K42</f>
        <v>-133.46602712855781</v>
      </c>
      <c r="H46" s="17">
        <v>0</v>
      </c>
      <c r="I46" s="18">
        <f>SUM(G46:H46)</f>
        <v>-133.46602712855781</v>
      </c>
    </row>
    <row r="47" spans="3:14" x14ac:dyDescent="0.35">
      <c r="C47" t="s">
        <v>0</v>
      </c>
      <c r="D47" t="s">
        <v>6</v>
      </c>
      <c r="G47" s="10">
        <f>SUM(G45:G46)</f>
        <v>-66.144988707316514</v>
      </c>
      <c r="H47" s="10">
        <f>SUM(H45:H46)</f>
        <v>-0.19278154334337927</v>
      </c>
      <c r="I47" s="10">
        <f>SUM(I45:I46)</f>
        <v>-66.337770250659901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1:I9"/>
  <sheetViews>
    <sheetView showGridLines="0" workbookViewId="0">
      <selection activeCell="D16" sqref="D16"/>
    </sheetView>
  </sheetViews>
  <sheetFormatPr defaultRowHeight="14.5" x14ac:dyDescent="0.35"/>
  <cols>
    <col min="2" max="2" width="1.81640625" customWidth="1"/>
    <col min="3" max="3" width="22.7265625" bestFit="1" customWidth="1"/>
    <col min="4" max="8" width="11.54296875" customWidth="1"/>
    <col min="9" max="9" width="10" bestFit="1" customWidth="1"/>
  </cols>
  <sheetData>
    <row r="1" spans="3:9" x14ac:dyDescent="0.35">
      <c r="C1" s="20"/>
    </row>
    <row r="2" spans="3:9" ht="21" x14ac:dyDescent="0.5">
      <c r="C2" s="21" t="s">
        <v>29</v>
      </c>
    </row>
    <row r="4" spans="3:9" ht="15" thickBot="1" x14ac:dyDescent="0.4">
      <c r="C4" s="22"/>
    </row>
    <row r="5" spans="3:9" ht="15" thickBot="1" x14ac:dyDescent="0.4">
      <c r="C5" s="23" t="s">
        <v>30</v>
      </c>
      <c r="D5" s="24" t="s">
        <v>31</v>
      </c>
      <c r="E5" s="24" t="s">
        <v>32</v>
      </c>
      <c r="F5" s="24" t="s">
        <v>33</v>
      </c>
      <c r="G5" s="24" t="s">
        <v>34</v>
      </c>
      <c r="H5" s="24" t="s">
        <v>35</v>
      </c>
      <c r="I5" s="25" t="s">
        <v>0</v>
      </c>
    </row>
    <row r="6" spans="3:9" ht="15" thickBot="1" x14ac:dyDescent="0.4">
      <c r="C6" s="26" t="s">
        <v>36</v>
      </c>
      <c r="D6" s="27"/>
      <c r="E6" s="27"/>
      <c r="F6" s="27"/>
      <c r="G6" s="27"/>
      <c r="H6" s="27"/>
    </row>
    <row r="7" spans="3:9" ht="15" thickBot="1" x14ac:dyDescent="0.4">
      <c r="C7" s="26" t="s">
        <v>37</v>
      </c>
      <c r="D7" s="27"/>
      <c r="E7" s="27">
        <v>0.23749999999999999</v>
      </c>
      <c r="F7" s="27">
        <v>0.23749999999999999</v>
      </c>
      <c r="G7" s="27">
        <v>0.27750000000000002</v>
      </c>
      <c r="H7" s="38">
        <v>0.48499999999999999</v>
      </c>
    </row>
    <row r="8" spans="3:9" ht="15" thickBot="1" x14ac:dyDescent="0.4">
      <c r="C8" s="26" t="s">
        <v>38</v>
      </c>
      <c r="D8" s="27"/>
      <c r="E8" s="27"/>
      <c r="F8" s="27"/>
      <c r="G8" s="27"/>
      <c r="H8" s="27"/>
    </row>
    <row r="9" spans="3:9" ht="15" thickBot="1" x14ac:dyDescent="0.4">
      <c r="C9" s="26" t="s">
        <v>39</v>
      </c>
      <c r="D9" s="27"/>
      <c r="E9" s="27"/>
      <c r="F9" s="27"/>
      <c r="G9" s="27"/>
      <c r="H9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C1:L24"/>
  <sheetViews>
    <sheetView showGridLines="0" workbookViewId="0"/>
  </sheetViews>
  <sheetFormatPr defaultRowHeight="14.5" x14ac:dyDescent="0.35"/>
  <cols>
    <col min="2" max="2" width="1.81640625" customWidth="1"/>
    <col min="3" max="3" width="22.7265625" bestFit="1" customWidth="1"/>
    <col min="4" max="8" width="11.54296875" customWidth="1"/>
    <col min="9" max="9" width="10" bestFit="1" customWidth="1"/>
  </cols>
  <sheetData>
    <row r="1" spans="3:12" x14ac:dyDescent="0.35">
      <c r="C1" s="20"/>
    </row>
    <row r="2" spans="3:12" ht="21" x14ac:dyDescent="0.5">
      <c r="C2" s="21" t="s">
        <v>40</v>
      </c>
    </row>
    <row r="4" spans="3:12" x14ac:dyDescent="0.35">
      <c r="C4" s="28" t="s">
        <v>30</v>
      </c>
      <c r="D4" s="29" t="s">
        <v>31</v>
      </c>
      <c r="E4" s="29" t="s">
        <v>32</v>
      </c>
      <c r="F4" s="29" t="s">
        <v>33</v>
      </c>
      <c r="G4" s="29" t="s">
        <v>34</v>
      </c>
      <c r="H4" s="29" t="s">
        <v>35</v>
      </c>
      <c r="I4" s="29" t="s">
        <v>41</v>
      </c>
    </row>
    <row r="5" spans="3:12" x14ac:dyDescent="0.35">
      <c r="C5" t="s">
        <v>42</v>
      </c>
      <c r="D5" s="20">
        <v>11.500638500000001</v>
      </c>
      <c r="E5" s="20">
        <v>16.900680299999998</v>
      </c>
      <c r="F5" s="20">
        <v>4.1947868000000001</v>
      </c>
      <c r="G5" s="20">
        <v>5.3319801999999976</v>
      </c>
      <c r="H5" s="20">
        <v>2.8080593999999968</v>
      </c>
      <c r="I5" s="20">
        <f>SUM(D5:H5)</f>
        <v>40.736145199999996</v>
      </c>
    </row>
    <row r="6" spans="3:12" x14ac:dyDescent="0.35">
      <c r="C6" t="s">
        <v>37</v>
      </c>
      <c r="D6" s="20">
        <v>3.5665640999999999</v>
      </c>
      <c r="E6" s="20">
        <v>0.35058419999999996</v>
      </c>
      <c r="F6" s="20">
        <v>1.6674372000000002</v>
      </c>
      <c r="G6" s="20">
        <v>10.321225200000001</v>
      </c>
      <c r="H6" s="20">
        <v>37.268745800000005</v>
      </c>
      <c r="I6" s="20">
        <f>SUM(D6:H6)</f>
        <v>53.174556500000008</v>
      </c>
    </row>
    <row r="7" spans="3:12" x14ac:dyDescent="0.35">
      <c r="C7" t="s">
        <v>38</v>
      </c>
      <c r="D7" s="20">
        <v>0.66679739999999987</v>
      </c>
      <c r="E7" s="20">
        <v>1.7357354999999999</v>
      </c>
      <c r="F7" s="20">
        <v>0.1489202</v>
      </c>
      <c r="G7" s="20">
        <v>0</v>
      </c>
      <c r="H7" s="20">
        <v>0</v>
      </c>
      <c r="I7" s="20">
        <f>SUM(D7:H7)</f>
        <v>2.5514530999999998</v>
      </c>
    </row>
    <row r="8" spans="3:12" x14ac:dyDescent="0.35">
      <c r="C8" t="s">
        <v>39</v>
      </c>
      <c r="D8" s="20">
        <v>0</v>
      </c>
      <c r="E8" s="20">
        <v>0</v>
      </c>
      <c r="F8" s="20">
        <v>3.5178000000000003</v>
      </c>
      <c r="G8" s="20">
        <v>7.0356000000000005</v>
      </c>
      <c r="H8" s="20">
        <v>4.6904000000000003</v>
      </c>
      <c r="I8" s="20">
        <f>SUM(D8:H8)</f>
        <v>15.2438</v>
      </c>
    </row>
    <row r="9" spans="3:12" x14ac:dyDescent="0.35">
      <c r="C9" t="s">
        <v>43</v>
      </c>
      <c r="D9" s="30">
        <v>0</v>
      </c>
      <c r="E9" s="30">
        <v>0</v>
      </c>
      <c r="F9" s="30">
        <v>0</v>
      </c>
      <c r="G9" s="30">
        <v>0.38695800000000002</v>
      </c>
      <c r="H9" s="30">
        <v>4.5707948000000007</v>
      </c>
      <c r="I9" s="30">
        <f>SUM(D9:H9)</f>
        <v>4.9577528000000006</v>
      </c>
    </row>
    <row r="10" spans="3:12" x14ac:dyDescent="0.35">
      <c r="C10" s="31" t="s">
        <v>44</v>
      </c>
      <c r="D10" s="32">
        <f t="shared" ref="D10:I10" si="0">SUM(D5:D9)</f>
        <v>15.734000000000002</v>
      </c>
      <c r="E10" s="32">
        <f t="shared" si="0"/>
        <v>18.986999999999998</v>
      </c>
      <c r="F10" s="32">
        <f t="shared" si="0"/>
        <v>9.5289442000000015</v>
      </c>
      <c r="G10" s="32">
        <f t="shared" si="0"/>
        <v>23.0757634</v>
      </c>
      <c r="H10" s="32">
        <f t="shared" si="0"/>
        <v>49.338000000000008</v>
      </c>
      <c r="I10" s="32">
        <f t="shared" si="0"/>
        <v>116.6637076</v>
      </c>
    </row>
    <row r="13" spans="3:12" x14ac:dyDescent="0.35">
      <c r="C13" s="32" t="s">
        <v>45</v>
      </c>
    </row>
    <row r="14" spans="3:12" x14ac:dyDescent="0.35">
      <c r="L14" s="33"/>
    </row>
    <row r="15" spans="3:12" x14ac:dyDescent="0.35">
      <c r="C15" s="28" t="s">
        <v>30</v>
      </c>
      <c r="D15" s="29" t="s">
        <v>46</v>
      </c>
      <c r="E15" s="29" t="s">
        <v>33</v>
      </c>
      <c r="F15" s="29" t="s">
        <v>34</v>
      </c>
      <c r="G15" s="29" t="s">
        <v>35</v>
      </c>
      <c r="H15" s="29" t="s">
        <v>41</v>
      </c>
    </row>
    <row r="16" spans="3:12" x14ac:dyDescent="0.35">
      <c r="C16" t="s">
        <v>46</v>
      </c>
      <c r="D16" s="20">
        <v>34.700000000000003</v>
      </c>
      <c r="E16" s="20">
        <v>0</v>
      </c>
      <c r="F16" s="20">
        <v>0</v>
      </c>
      <c r="G16" s="20">
        <v>0</v>
      </c>
      <c r="H16" s="20">
        <f>SUM(D16:G16)</f>
        <v>34.700000000000003</v>
      </c>
    </row>
    <row r="17" spans="3:8" x14ac:dyDescent="0.35">
      <c r="C17" t="s">
        <v>42</v>
      </c>
      <c r="D17" s="20">
        <v>0</v>
      </c>
      <c r="E17" s="20">
        <f>3.5*1.1726</f>
        <v>4.1041000000000007</v>
      </c>
      <c r="F17" s="34">
        <f>4.1*1.1726</f>
        <v>4.8076600000000003</v>
      </c>
      <c r="G17" s="20">
        <v>4.5</v>
      </c>
      <c r="H17" s="20">
        <f t="shared" ref="H17:H20" si="1">SUM(D17:G17)</f>
        <v>13.411760000000001</v>
      </c>
    </row>
    <row r="18" spans="3:8" x14ac:dyDescent="0.35">
      <c r="C18" t="s">
        <v>37</v>
      </c>
      <c r="D18" s="20">
        <v>0</v>
      </c>
      <c r="E18" s="20">
        <f>1.6*1.1726</f>
        <v>1.8761600000000003</v>
      </c>
      <c r="F18" s="20">
        <f>16.6*1.1726</f>
        <v>19.465160000000004</v>
      </c>
      <c r="G18" s="20">
        <f>23.43*1.1726</f>
        <v>27.474018000000001</v>
      </c>
      <c r="H18" s="20">
        <f t="shared" si="1"/>
        <v>48.815338000000004</v>
      </c>
    </row>
    <row r="19" spans="3:8" x14ac:dyDescent="0.35">
      <c r="C19" t="s">
        <v>39</v>
      </c>
      <c r="D19" s="20">
        <v>0</v>
      </c>
      <c r="E19" s="20">
        <f>3*1.1726</f>
        <v>3.5178000000000003</v>
      </c>
      <c r="F19" s="20">
        <f>6*1.1726</f>
        <v>7.0356000000000005</v>
      </c>
      <c r="G19" s="34">
        <f>4*1.1726</f>
        <v>4.6904000000000003</v>
      </c>
      <c r="H19" s="20">
        <f t="shared" si="1"/>
        <v>15.2438</v>
      </c>
    </row>
    <row r="20" spans="3:8" x14ac:dyDescent="0.35">
      <c r="C20" t="s">
        <v>43</v>
      </c>
      <c r="D20" s="30">
        <v>0</v>
      </c>
      <c r="E20" s="30">
        <v>0</v>
      </c>
      <c r="F20" s="30">
        <f>1.53*1.1726</f>
        <v>1.7940780000000001</v>
      </c>
      <c r="G20" s="30">
        <f>2.34*1.1726</f>
        <v>2.743884</v>
      </c>
      <c r="H20" s="30">
        <f t="shared" si="1"/>
        <v>4.5379620000000003</v>
      </c>
    </row>
    <row r="21" spans="3:8" x14ac:dyDescent="0.35">
      <c r="C21" s="31" t="s">
        <v>44</v>
      </c>
      <c r="D21" s="32">
        <f>SUM(D16:D20)</f>
        <v>34.700000000000003</v>
      </c>
      <c r="E21" s="32">
        <f t="shared" ref="E21:H21" si="2">SUM(E16:E20)</f>
        <v>9.4980600000000024</v>
      </c>
      <c r="F21" s="32">
        <f t="shared" si="2"/>
        <v>33.102498000000004</v>
      </c>
      <c r="G21" s="32">
        <f t="shared" si="2"/>
        <v>39.408301999999999</v>
      </c>
      <c r="H21" s="32">
        <f t="shared" si="2"/>
        <v>116.70885999999999</v>
      </c>
    </row>
    <row r="22" spans="3:8" x14ac:dyDescent="0.35">
      <c r="D22" s="35"/>
      <c r="E22" s="35"/>
      <c r="F22" s="35"/>
      <c r="G22" s="35"/>
      <c r="H22" s="35"/>
    </row>
    <row r="23" spans="3:8" hidden="1" x14ac:dyDescent="0.35">
      <c r="C23" s="31" t="s">
        <v>47</v>
      </c>
      <c r="D23" s="32">
        <f>15.7+18.9</f>
        <v>34.599999999999994</v>
      </c>
      <c r="E23" s="32">
        <v>10.5</v>
      </c>
      <c r="F23" s="32">
        <v>33.1</v>
      </c>
      <c r="G23" s="32">
        <v>96</v>
      </c>
      <c r="H23" s="32">
        <f>SUM(D23:G23)</f>
        <v>174.2</v>
      </c>
    </row>
    <row r="24" spans="3:8" hidden="1" x14ac:dyDescent="0.35">
      <c r="C24" t="s">
        <v>48</v>
      </c>
      <c r="D24" s="20">
        <f>D21-D23</f>
        <v>0.10000000000000853</v>
      </c>
      <c r="E24" s="20">
        <f t="shared" ref="E24:H24" si="3">E21-E23</f>
        <v>-1.0019399999999976</v>
      </c>
      <c r="F24" s="20">
        <f t="shared" si="3"/>
        <v>2.4980000000027758E-3</v>
      </c>
      <c r="G24" s="20">
        <f t="shared" si="3"/>
        <v>-56.591698000000001</v>
      </c>
      <c r="H24" s="20">
        <f t="shared" si="3"/>
        <v>-57.491140000000001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2D153FC8BFB438D82363EA992B2B9" ma:contentTypeVersion="13" ma:contentTypeDescription="Create a new document." ma:contentTypeScope="" ma:versionID="d68b78849d076001dbf306f9ab04e2cf">
  <xsd:schema xmlns:xsd="http://www.w3.org/2001/XMLSchema" xmlns:xs="http://www.w3.org/2001/XMLSchema" xmlns:p="http://schemas.microsoft.com/office/2006/metadata/properties" xmlns:ns3="81a5ad8a-d5fb-4012-8ca9-15e7cc009343" xmlns:ns4="9d9babbb-9d2f-4374-acef-4e32190ceeca" targetNamespace="http://schemas.microsoft.com/office/2006/metadata/properties" ma:root="true" ma:fieldsID="704af379f0ccd9877bac65a0a4ae46ac" ns3:_="" ns4:_="">
    <xsd:import namespace="81a5ad8a-d5fb-4012-8ca9-15e7cc009343"/>
    <xsd:import namespace="9d9babbb-9d2f-4374-acef-4e32190cee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5ad8a-d5fb-4012-8ca9-15e7cc009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babbb-9d2f-4374-acef-4e32190cee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F604A-DB12-4914-A70E-9B74A41E31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D18C1-DFE2-4956-A6E5-7553B3212BD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d9babbb-9d2f-4374-acef-4e32190ceeca"/>
    <ds:schemaRef ds:uri="81a5ad8a-d5fb-4012-8ca9-15e7cc0093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B8E7F6-0D9C-4320-B3D5-F2EFB6423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5ad8a-d5fb-4012-8ca9-15e7cc009343"/>
    <ds:schemaRef ds:uri="9d9babbb-9d2f-4374-acef-4e32190cee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Counters Creek</vt:lpstr>
      <vt:lpstr>AMP6 opex</vt:lpstr>
      <vt:lpstr>AMP 6 capex</vt:lpstr>
    </vt:vector>
  </TitlesOfParts>
  <Company>Thames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Thames Water User</dc:creator>
  <cp:lastModifiedBy>Laura Dewey</cp:lastModifiedBy>
  <dcterms:created xsi:type="dcterms:W3CDTF">2018-06-13T15:16:47Z</dcterms:created>
  <dcterms:modified xsi:type="dcterms:W3CDTF">2020-06-24T11:06:16Z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0x010100C032D153FC8BFB438D82363EA992B2B9</vt:lpwstr>
  </property>
</Properties>
</file>