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 filterPrivacy="1" codeName="ThisWorkbook" defaultThemeVersion="124226"/>
  <xr:revisionPtr revIDLastSave="0" documentId="13_ncr:1_{A68A198D-1D30-4EEB-9C4C-B93D78CA9854}" xr6:coauthVersionLast="47" xr6:coauthVersionMax="47" xr10:uidLastSave="{00000000-0000-0000-0000-000000000000}"/>
  <bookViews>
    <workbookView xWindow="-110" yWindow="-110" windowWidth="19420" windowHeight="10420" firstSheet="8" activeTab="8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</sheets>
  <externalReferences>
    <externalReference r:id="rId10"/>
    <externalReference r:id="rId11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[1]InpActive!$F$2030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[2]Inputs!$F$31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4" l="1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F35" i="13" l="1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P11" i="14" l="1"/>
  <c r="P15" i="14" s="1"/>
  <c r="L18" i="14"/>
  <c r="P18" i="14"/>
  <c r="K11" i="14"/>
  <c r="O11" i="14"/>
  <c r="L104" i="14"/>
  <c r="P104" i="14"/>
  <c r="Q11" i="14"/>
  <c r="M11" i="14"/>
  <c r="J11" i="14"/>
  <c r="N11" i="14"/>
  <c r="R11" i="14"/>
  <c r="H11" i="14" l="1"/>
  <c r="H104" i="14" s="1"/>
  <c r="Q15" i="14"/>
  <c r="Q18" i="14" s="1"/>
  <c r="Q104" i="14"/>
  <c r="N15" i="14"/>
  <c r="N18" i="14" s="1"/>
  <c r="N104" i="14"/>
  <c r="J15" i="14"/>
  <c r="J18" i="14" s="1"/>
  <c r="J104" i="14"/>
  <c r="M15" i="14"/>
  <c r="M18" i="14" s="1"/>
  <c r="M104" i="14"/>
  <c r="O15" i="14"/>
  <c r="O18" i="14" s="1"/>
  <c r="O104" i="14"/>
  <c r="K15" i="14"/>
  <c r="K18" i="14" s="1"/>
  <c r="K104" i="14"/>
  <c r="R15" i="14"/>
  <c r="R18" i="14" s="1"/>
  <c r="R104" i="14"/>
  <c r="G112" i="14"/>
  <c r="E112" i="14"/>
  <c r="G111" i="14"/>
  <c r="E111" i="14"/>
  <c r="H15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J5" i="24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14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E4" i="13"/>
  <c r="K8" i="15"/>
  <c r="K5" i="19" s="1"/>
  <c r="J5" i="26"/>
  <c r="J5" i="19"/>
  <c r="E5" i="24"/>
  <c r="K5" i="26"/>
  <c r="K5" i="24"/>
  <c r="E3" i="13"/>
  <c r="E5" i="13" l="1"/>
  <c r="E5" i="19"/>
  <c r="K5" i="14"/>
  <c r="E2" i="24"/>
  <c r="K5" i="15"/>
  <c r="E2" i="19"/>
  <c r="E2" i="14"/>
  <c r="J20" i="14"/>
  <c r="K23" i="26"/>
  <c r="K21" i="14" s="1"/>
  <c r="I3" i="19"/>
  <c r="J5" i="14"/>
  <c r="K11" i="15"/>
  <c r="K12" i="15" s="1"/>
  <c r="K28" i="15" s="1"/>
  <c r="J11" i="15"/>
  <c r="J12" i="15" s="1"/>
  <c r="E4" i="24"/>
  <c r="J5" i="15"/>
  <c r="E4" i="19"/>
  <c r="I4" i="24"/>
  <c r="I2" i="24"/>
  <c r="J58" i="15"/>
  <c r="J54" i="15"/>
  <c r="J39" i="14"/>
  <c r="J41" i="14" s="1"/>
  <c r="J45" i="14" s="1"/>
  <c r="J64" i="14"/>
  <c r="J19" i="15"/>
  <c r="J28" i="15"/>
  <c r="J29" i="15" s="1"/>
  <c r="J4" i="13" s="1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J20" i="15"/>
  <c r="J21" i="15" s="1"/>
  <c r="J2" i="26" s="1"/>
  <c r="M22" i="26"/>
  <c r="N23" i="26" s="1"/>
  <c r="N21" i="14" s="1"/>
  <c r="M23" i="26"/>
  <c r="G88" i="14"/>
  <c r="E73" i="14"/>
  <c r="I73" i="14"/>
  <c r="F88" i="14"/>
  <c r="J4" i="19"/>
  <c r="J23" i="26"/>
  <c r="J21" i="14" s="1"/>
  <c r="L23" i="26"/>
  <c r="L21" i="14" s="1"/>
  <c r="K19" i="15" l="1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K25" i="26"/>
  <c r="J25" i="26"/>
  <c r="K26" i="26" s="1"/>
  <c r="L25" i="26"/>
  <c r="N25" i="26"/>
  <c r="M26" i="26" l="1"/>
  <c r="M77" i="14" s="1"/>
  <c r="J36" i="15"/>
  <c r="J57" i="15" s="1"/>
  <c r="F125" i="14"/>
  <c r="K27" i="15"/>
  <c r="K29" i="15" s="1"/>
  <c r="K4" i="24" s="1"/>
  <c r="L19" i="15"/>
  <c r="L20" i="15" s="1"/>
  <c r="L21" i="15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L2" i="19"/>
  <c r="L34" i="15"/>
  <c r="L2" i="14"/>
  <c r="L2" i="13"/>
  <c r="L2" i="15"/>
  <c r="L2" i="26"/>
  <c r="L27" i="15"/>
  <c r="L2" i="24"/>
  <c r="L45" i="15"/>
  <c r="K4" i="15"/>
  <c r="K4" i="13"/>
  <c r="K4" i="19"/>
  <c r="K36" i="15"/>
  <c r="K35" i="15"/>
  <c r="K41" i="15" s="1"/>
  <c r="L42" i="15" s="1"/>
  <c r="J53" i="15"/>
  <c r="J59" i="15" s="1"/>
  <c r="K50" i="14"/>
  <c r="K72" i="14"/>
  <c r="K77" i="14"/>
  <c r="K43" i="14"/>
  <c r="N26" i="26"/>
  <c r="M50" i="14" l="1"/>
  <c r="M72" i="14"/>
  <c r="M43" i="14"/>
  <c r="K4" i="14"/>
  <c r="K4" i="26"/>
  <c r="N5" i="19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3" i="26"/>
  <c r="O21" i="14" s="1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K54" i="15"/>
  <c r="K64" i="14"/>
  <c r="K65" i="14" s="1"/>
  <c r="K27" i="14" s="1"/>
  <c r="K39" i="14"/>
  <c r="K41" i="14" s="1"/>
  <c r="K45" i="14" s="1"/>
  <c r="L48" i="15"/>
  <c r="L35" i="15"/>
  <c r="L36" i="15"/>
  <c r="L57" i="15" s="1"/>
  <c r="L46" i="15"/>
  <c r="N77" i="14"/>
  <c r="N50" i="14"/>
  <c r="N43" i="14"/>
  <c r="N72" i="14"/>
  <c r="M2" i="15" l="1"/>
  <c r="M2" i="14"/>
  <c r="M2" i="19"/>
  <c r="M34" i="15"/>
  <c r="M2" i="24"/>
  <c r="M45" i="15"/>
  <c r="M46" i="15" s="1"/>
  <c r="L4" i="24"/>
  <c r="M2" i="26"/>
  <c r="M2" i="13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Q17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35" i="15"/>
  <c r="M41" i="15" s="1"/>
  <c r="N42" i="15" s="1"/>
  <c r="M36" i="15"/>
  <c r="L49" i="15"/>
  <c r="L79" i="14"/>
  <c r="L80" i="14" s="1"/>
  <c r="L74" i="14"/>
  <c r="L90" i="14"/>
  <c r="M4" i="15" l="1"/>
  <c r="M4" i="19"/>
  <c r="N27" i="15"/>
  <c r="N29" i="15" s="1"/>
  <c r="M4" i="14"/>
  <c r="N2" i="19"/>
  <c r="N2" i="14"/>
  <c r="M4" i="24"/>
  <c r="M4" i="26"/>
  <c r="N2" i="15"/>
  <c r="L54" i="15"/>
  <c r="L59" i="15"/>
  <c r="L44" i="14" s="1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J63" i="14"/>
  <c r="M53" i="15"/>
  <c r="M57" i="15"/>
  <c r="L51" i="14"/>
  <c r="L53" i="14" s="1"/>
  <c r="L58" i="14" s="1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6"/>
  <c r="N4" i="24"/>
  <c r="N4" i="15"/>
  <c r="N4" i="13"/>
  <c r="N4" i="14"/>
  <c r="N4" i="19"/>
  <c r="M49" i="15"/>
  <c r="M74" i="14"/>
  <c r="M79" i="14"/>
  <c r="M80" i="14" s="1"/>
  <c r="M90" i="14"/>
  <c r="L3" i="14"/>
  <c r="O2" i="26" l="1"/>
  <c r="O2" i="24"/>
  <c r="O34" i="15"/>
  <c r="O27" i="15"/>
  <c r="O29" i="15" s="1"/>
  <c r="O2" i="13"/>
  <c r="O2" i="19"/>
  <c r="O2" i="14"/>
  <c r="Q25" i="26"/>
  <c r="Q26" i="26" s="1"/>
  <c r="Q72" i="14" s="1"/>
  <c r="P43" i="14"/>
  <c r="P77" i="14"/>
  <c r="P72" i="14"/>
  <c r="O45" i="15"/>
  <c r="L46" i="14"/>
  <c r="L57" i="14" s="1"/>
  <c r="L59" i="14" s="1"/>
  <c r="L63" i="14" s="1"/>
  <c r="N35" i="15"/>
  <c r="N41" i="15" s="1"/>
  <c r="O42" i="15" s="1"/>
  <c r="O48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2" i="13" s="1"/>
  <c r="P28" i="15"/>
  <c r="L3" i="13"/>
  <c r="L65" i="14"/>
  <c r="L27" i="14" s="1"/>
  <c r="R23" i="26"/>
  <c r="R21" i="14" s="1"/>
  <c r="M83" i="14"/>
  <c r="M59" i="15"/>
  <c r="M51" i="14" s="1"/>
  <c r="M53" i="14" s="1"/>
  <c r="M58" i="14" s="1"/>
  <c r="L3" i="24"/>
  <c r="L3" i="15"/>
  <c r="L3" i="19"/>
  <c r="M55" i="15"/>
  <c r="N50" i="15"/>
  <c r="N58" i="15" s="1"/>
  <c r="O4" i="19"/>
  <c r="O4" i="26"/>
  <c r="O4" i="24"/>
  <c r="O4" i="13"/>
  <c r="O4" i="14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Q77" i="14" l="1"/>
  <c r="P2" i="14"/>
  <c r="Q50" i="14"/>
  <c r="P2" i="15"/>
  <c r="Q43" i="14"/>
  <c r="P2" i="24"/>
  <c r="P34" i="15"/>
  <c r="P36" i="15" s="1"/>
  <c r="P2" i="26"/>
  <c r="P45" i="15"/>
  <c r="P46" i="15" s="1"/>
  <c r="O79" i="14"/>
  <c r="O80" i="14" s="1"/>
  <c r="O83" i="14" s="1"/>
  <c r="P27" i="15"/>
  <c r="P29" i="15" s="1"/>
  <c r="P4" i="26" s="1"/>
  <c r="P2" i="19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M3" i="14"/>
  <c r="M3" i="13"/>
  <c r="M3" i="15"/>
  <c r="M3" i="24"/>
  <c r="M3" i="26"/>
  <c r="M3" i="19"/>
  <c r="N83" i="14"/>
  <c r="P49" i="15"/>
  <c r="P79" i="14"/>
  <c r="P80" i="14" s="1"/>
  <c r="P74" i="14"/>
  <c r="P90" i="14"/>
  <c r="O41" i="15"/>
  <c r="P42" i="15" s="1"/>
  <c r="O53" i="15"/>
  <c r="Q2" i="24"/>
  <c r="Q2" i="15"/>
  <c r="Q45" i="15"/>
  <c r="Q46" i="15" s="1"/>
  <c r="O50" i="15"/>
  <c r="O58" i="15" s="1"/>
  <c r="P4" i="24"/>
  <c r="P4" i="14"/>
  <c r="P4" i="15"/>
  <c r="N39" i="14"/>
  <c r="N54" i="15"/>
  <c r="N55" i="15" s="1"/>
  <c r="N64" i="14"/>
  <c r="N65" i="14" s="1"/>
  <c r="N27" i="14" s="1"/>
  <c r="P35" i="15" l="1"/>
  <c r="P41" i="15" s="1"/>
  <c r="Q42" i="15" s="1"/>
  <c r="P4" i="13"/>
  <c r="Q2" i="14"/>
  <c r="P4" i="19"/>
  <c r="R72" i="14"/>
  <c r="R50" i="14"/>
  <c r="R43" i="14"/>
  <c r="Q2" i="13"/>
  <c r="Q27" i="15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Q29" i="15"/>
  <c r="Q4" i="14" s="1"/>
  <c r="P83" i="14"/>
  <c r="M63" i="14"/>
  <c r="O59" i="15"/>
  <c r="P53" i="15"/>
  <c r="P57" i="15"/>
  <c r="N3" i="13"/>
  <c r="N3" i="14"/>
  <c r="N3" i="19"/>
  <c r="N3" i="26"/>
  <c r="N3" i="15"/>
  <c r="N3" i="24"/>
  <c r="Q74" i="14"/>
  <c r="Q90" i="14"/>
  <c r="Q79" i="14"/>
  <c r="Q80" i="14" s="1"/>
  <c r="Q49" i="15"/>
  <c r="O64" i="14"/>
  <c r="O39" i="14"/>
  <c r="O54" i="15"/>
  <c r="O55" i="15" s="1"/>
  <c r="P48" i="15"/>
  <c r="P50" i="15" s="1"/>
  <c r="P58" i="15" s="1"/>
  <c r="Q48" i="15"/>
  <c r="Q4" i="24" l="1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R35" i="15" s="1"/>
  <c r="R41" i="15" s="1"/>
  <c r="H28" i="15"/>
  <c r="H19" i="15"/>
  <c r="O65" i="14"/>
  <c r="O27" i="14" s="1"/>
  <c r="P59" i="15"/>
  <c r="Q50" i="15"/>
  <c r="Q58" i="15" s="1"/>
  <c r="H49" i="15"/>
  <c r="H79" i="14"/>
  <c r="H74" i="14"/>
  <c r="H90" i="14"/>
  <c r="O3" i="19"/>
  <c r="O3" i="15"/>
  <c r="O3" i="13"/>
  <c r="O3" i="14"/>
  <c r="O3" i="26"/>
  <c r="O3" i="24"/>
  <c r="H48" i="15"/>
  <c r="R48" i="15"/>
  <c r="R36" i="15"/>
  <c r="R57" i="15" s="1"/>
  <c r="Q83" i="14"/>
  <c r="R74" i="14"/>
  <c r="R79" i="14"/>
  <c r="R80" i="14" s="1"/>
  <c r="R90" i="14"/>
  <c r="R49" i="15"/>
  <c r="P64" i="14"/>
  <c r="P54" i="15"/>
  <c r="P55" i="15" s="1"/>
  <c r="P39" i="14"/>
  <c r="Q53" i="15"/>
  <c r="R4" i="14" l="1"/>
  <c r="R4" i="26"/>
  <c r="R4" i="24"/>
  <c r="R4" i="19"/>
  <c r="Q39" i="14"/>
  <c r="Q54" i="15"/>
  <c r="Q55" i="15" s="1"/>
  <c r="R4" i="13"/>
  <c r="R50" i="15"/>
  <c r="R58" i="15" s="1"/>
  <c r="Q64" i="14"/>
  <c r="R83" i="14"/>
  <c r="Q59" i="15"/>
  <c r="F37" i="15"/>
  <c r="F64" i="15" s="1"/>
  <c r="R53" i="15"/>
  <c r="H36" i="15"/>
  <c r="H35" i="15"/>
  <c r="H41" i="15" s="1"/>
  <c r="H80" i="14"/>
  <c r="H83" i="14" s="1"/>
  <c r="F51" i="15"/>
  <c r="F65" i="15" s="1"/>
  <c r="P3" i="13"/>
  <c r="P3" i="19"/>
  <c r="P3" i="24"/>
  <c r="P3" i="14"/>
  <c r="P3" i="26"/>
  <c r="P3" i="15"/>
  <c r="Q3" i="26" l="1"/>
  <c r="Q3" i="19"/>
  <c r="Q3" i="14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R75" i="14" s="1"/>
  <c r="R82" i="14" s="1"/>
  <c r="R84" i="14" s="1"/>
  <c r="R93" i="14" s="1"/>
  <c r="Q41" i="14"/>
  <c r="Q45" i="14" s="1"/>
  <c r="Q88" i="14"/>
  <c r="Q91" i="14" s="1"/>
  <c r="Q94" i="14" s="1"/>
  <c r="L95" i="14"/>
  <c r="L9" i="24" s="1"/>
  <c r="N41" i="14" l="1"/>
  <c r="N45" i="14" s="1"/>
  <c r="N46" i="14" s="1"/>
  <c r="N57" i="14" s="1"/>
  <c r="N59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</calcChain>
</file>

<file path=xl/sharedStrings.xml><?xml version="1.0" encoding="utf-8"?>
<sst xmlns="http://schemas.openxmlformats.org/spreadsheetml/2006/main" count="275" uniqueCount="209">
  <si>
    <t>Model name:</t>
  </si>
  <si>
    <t>Bioresources revenue reconciliation model</t>
  </si>
  <si>
    <t>Version number:</t>
  </si>
  <si>
    <t>Filename:</t>
  </si>
  <si>
    <t>Bioresources-Revenue-Reconciliation-Model-Dec-2020-v2.0.xlsx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</si>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</sst>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* #,##0_-;\-* #,##0_-;_-* &quot;-&quot;??_-;_-@_-"/>
    <numFmt numFmtId="166" formatCode="#,##0_);\(#,##0\);&quot;-  &quot;;&quot; &quot;@"/>
    <numFmt numFmtId="167" formatCode="dd\ mmm\ yy_);\(###0\);&quot;-  &quot;;&quot; &quot;@&quot; &quot;"/>
    <numFmt numFmtId="168" formatCode="dd\ mmm\ yy_);;&quot;-  &quot;;&quot; &quot;@&quot; &quot;"/>
    <numFmt numFmtId="169" formatCode="#,##0_);\(#,##0\);&quot;-  &quot;;&quot; &quot;@&quot; &quot;"/>
    <numFmt numFmtId="170" formatCode="0.00%_);\-0.00%_);&quot;-  &quot;;&quot; &quot;@&quot; &quot;"/>
    <numFmt numFmtId="171" formatCode="#,##0.0000_);\(#,##0.0000\);&quot;-  &quot;;&quot; &quot;@&quot; &quot;"/>
    <numFmt numFmtId="172" formatCode="dd\ mmm\ yyyy_);\(###0\);&quot;-  &quot;;&quot; &quot;@&quot; &quot;"/>
    <numFmt numFmtId="173" formatCode="###0_);\(###0\);&quot;-  &quot;;&quot; &quot;@&quot; &quot;"/>
    <numFmt numFmtId="174" formatCode="#,##0.0_);\(#,##0.0\);&quot;-  &quot;;&quot; &quot;@"/>
    <numFmt numFmtId="175" formatCode="dd\ mmm\ yyyy_);;&quot;-  &quot;;&quot; &quot;@&quot; &quot;"/>
    <numFmt numFmtId="176" formatCode="_(* #,##0_);_(* \(#,##0\);_(* &quot;-&quot;??_);_(@_)"/>
    <numFmt numFmtId="177" formatCode="#,##0.00_);\(#,##0.00\);&quot;-  &quot;;&quot; &quot;@&quot; &quot;"/>
    <numFmt numFmtId="178" formatCode="#,##0.0_);\(#,##0.0\);&quot;-  &quot;;&quot; &quot;@&quot; &quot;"/>
    <numFmt numFmtId="179" formatCode="###0_);\(#,##0\);&quot;-  &quot;;&quot; &quot;@"/>
    <numFmt numFmtId="180" formatCode="#,##0.000_);\(#,##0.000\);&quot;-  &quot;;&quot; &quot;@&quot; &quot;"/>
    <numFmt numFmtId="181" formatCode="0.0"/>
  </numFmts>
  <fonts count="6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169" fontId="0" fillId="0" borderId="0" applyFont="0" applyFill="0" applyBorder="0" applyProtection="0">
      <alignment vertical="top"/>
    </xf>
    <xf numFmtId="164" fontId="9" fillId="0" borderId="0" applyFont="0" applyFill="0" applyBorder="0" applyAlignment="0" applyProtection="0"/>
    <xf numFmtId="170" fontId="9" fillId="0" borderId="0" applyFont="0" applyFill="0" applyBorder="0" applyProtection="0">
      <alignment vertical="top"/>
    </xf>
    <xf numFmtId="167" fontId="13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173" fontId="9" fillId="0" borderId="0" applyFont="0" applyFill="0" applyBorder="0" applyProtection="0">
      <alignment vertical="top"/>
    </xf>
    <xf numFmtId="168" fontId="11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horizontal="right" vertical="top"/>
    </xf>
    <xf numFmtId="166" fontId="14" fillId="0" borderId="0" applyNumberFormat="0" applyProtection="0">
      <alignment vertical="top"/>
    </xf>
    <xf numFmtId="0" fontId="13" fillId="0" borderId="0"/>
    <xf numFmtId="0" fontId="7" fillId="0" borderId="0"/>
    <xf numFmtId="0" fontId="7" fillId="0" borderId="0"/>
    <xf numFmtId="169" fontId="13" fillId="0" borderId="0" applyFont="0" applyFill="0" applyBorder="0" applyProtection="0">
      <alignment vertical="top"/>
    </xf>
    <xf numFmtId="167" fontId="13" fillId="0" borderId="0" applyFont="0" applyFill="0" applyBorder="0" applyProtection="0">
      <alignment vertical="top"/>
    </xf>
    <xf numFmtId="170" fontId="13" fillId="0" borderId="0" applyFont="0" applyFill="0" applyBorder="0" applyProtection="0">
      <alignment vertical="top"/>
    </xf>
    <xf numFmtId="0" fontId="6" fillId="0" borderId="0"/>
    <xf numFmtId="0" fontId="6" fillId="0" borderId="0"/>
    <xf numFmtId="169" fontId="39" fillId="0" borderId="0" applyFont="0" applyFill="0" applyBorder="0" applyProtection="0">
      <alignment vertical="top"/>
    </xf>
    <xf numFmtId="172" fontId="13" fillId="0" borderId="0" applyFont="0" applyFill="0" applyBorder="0" applyProtection="0">
      <alignment vertical="top"/>
    </xf>
    <xf numFmtId="171" fontId="13" fillId="0" borderId="0" applyFont="0" applyFill="0" applyBorder="0" applyProtection="0">
      <alignment vertical="top"/>
    </xf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6" applyNumberFormat="0" applyAlignment="0" applyProtection="0"/>
    <xf numFmtId="0" fontId="48" fillId="25" borderId="7" applyNumberFormat="0" applyAlignment="0" applyProtection="0"/>
    <xf numFmtId="0" fontId="49" fillId="25" borderId="6" applyNumberFormat="0" applyAlignment="0" applyProtection="0"/>
    <xf numFmtId="0" fontId="50" fillId="0" borderId="8" applyNumberFormat="0" applyFill="0" applyAlignment="0" applyProtection="0"/>
    <xf numFmtId="0" fontId="51" fillId="26" borderId="9" applyNumberFormat="0" applyAlignment="0" applyProtection="0"/>
    <xf numFmtId="0" fontId="52" fillId="0" borderId="0" applyNumberFormat="0" applyFill="0" applyBorder="0" applyAlignment="0" applyProtection="0"/>
    <xf numFmtId="0" fontId="13" fillId="27" borderId="10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55" fillId="51" borderId="0" applyNumberFormat="0" applyBorder="0" applyAlignment="0" applyProtection="0"/>
    <xf numFmtId="166" fontId="30" fillId="0" borderId="0" applyNumberFormat="0" applyFill="0" applyBorder="0" applyAlignment="0" applyProtection="0">
      <alignment vertical="top"/>
    </xf>
    <xf numFmtId="173" fontId="13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0" fontId="32" fillId="52" borderId="12" applyNumberFormat="0" applyFont="0" applyAlignment="0" applyProtection="0"/>
    <xf numFmtId="169" fontId="9" fillId="0" borderId="0" applyFont="0" applyFill="0" applyBorder="0" applyProtection="0">
      <alignment vertical="top"/>
    </xf>
    <xf numFmtId="164" fontId="9" fillId="0" borderId="0" applyFont="0" applyFill="0" applyBorder="0" applyAlignment="0" applyProtection="0"/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173" fontId="9" fillId="0" borderId="0" applyFont="0" applyFill="0" applyBorder="0" applyProtection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62" fillId="53" borderId="0" applyNumberFormat="0" applyBorder="0" applyAlignment="0" applyProtection="0"/>
    <xf numFmtId="0" fontId="19" fillId="0" borderId="0"/>
    <xf numFmtId="0" fontId="30" fillId="0" borderId="0" applyNumberFormat="0" applyFill="0" applyBorder="0" applyAlignment="0" applyProtection="0"/>
    <xf numFmtId="0" fontId="63" fillId="0" borderId="0" applyNumberFormat="0" applyFill="0" applyAlignment="0" applyProtection="0"/>
    <xf numFmtId="0" fontId="64" fillId="54" borderId="0" applyNumberFormat="0" applyBorder="0" applyAlignment="0" applyProtection="0"/>
    <xf numFmtId="0" fontId="64" fillId="53" borderId="0" applyNumberFormat="0" applyAlignment="0" applyProtection="0"/>
    <xf numFmtId="169" fontId="13" fillId="0" borderId="0" applyFont="0" applyFill="0" applyBorder="0" applyProtection="0">
      <alignment vertical="top"/>
    </xf>
    <xf numFmtId="0" fontId="1" fillId="0" borderId="0"/>
    <xf numFmtId="166" fontId="30" fillId="0" borderId="0" applyNumberFormat="0" applyFill="0" applyBorder="0" applyAlignment="0" applyProtection="0">
      <alignment vertical="top"/>
    </xf>
    <xf numFmtId="169" fontId="19" fillId="0" borderId="0" applyFont="0" applyFill="0" applyBorder="0" applyProtection="0">
      <alignment vertical="top"/>
    </xf>
  </cellStyleXfs>
  <cellXfs count="354">
    <xf numFmtId="169" fontId="0" fillId="0" borderId="0" xfId="0">
      <alignment vertical="top"/>
    </xf>
    <xf numFmtId="169" fontId="10" fillId="2" borderId="0" xfId="0" applyFont="1" applyFill="1">
      <alignment vertical="top"/>
    </xf>
    <xf numFmtId="164" fontId="11" fillId="0" borderId="0" xfId="1" applyFont="1" applyFill="1" applyAlignment="1">
      <alignment vertical="top"/>
    </xf>
    <xf numFmtId="164" fontId="12" fillId="0" borderId="0" xfId="1" applyFont="1" applyFill="1" applyAlignment="1">
      <alignment vertical="top"/>
    </xf>
    <xf numFmtId="164" fontId="13" fillId="0" borderId="0" xfId="1" applyFont="1" applyFill="1" applyAlignment="1">
      <alignment horizontal="right" vertical="top"/>
    </xf>
    <xf numFmtId="164" fontId="13" fillId="0" borderId="0" xfId="1" applyFont="1" applyFill="1" applyAlignment="1">
      <alignment vertical="top"/>
    </xf>
    <xf numFmtId="164" fontId="13" fillId="0" borderId="0" xfId="1" applyFont="1" applyFill="1" applyBorder="1" applyAlignment="1">
      <alignment vertical="top"/>
    </xf>
    <xf numFmtId="167" fontId="11" fillId="0" borderId="0" xfId="3" applyFont="1" applyFill="1" applyBorder="1">
      <alignment vertical="top"/>
    </xf>
    <xf numFmtId="167" fontId="13" fillId="0" borderId="0" xfId="3" applyFont="1" applyFill="1" applyBorder="1">
      <alignment vertical="top"/>
    </xf>
    <xf numFmtId="167" fontId="11" fillId="0" borderId="0" xfId="3" applyFont="1" applyFill="1" applyBorder="1" applyAlignment="1">
      <alignment horizontal="right" vertical="top"/>
    </xf>
    <xf numFmtId="164" fontId="11" fillId="0" borderId="0" xfId="1" applyFont="1" applyAlignment="1">
      <alignment vertical="top"/>
    </xf>
    <xf numFmtId="164" fontId="13" fillId="0" borderId="0" xfId="1" applyFont="1" applyAlignment="1">
      <alignment horizontal="right" vertical="top"/>
    </xf>
    <xf numFmtId="164" fontId="13" fillId="0" borderId="0" xfId="1" applyFont="1" applyAlignment="1">
      <alignment vertical="top"/>
    </xf>
    <xf numFmtId="164" fontId="13" fillId="0" borderId="0" xfId="1" applyFont="1" applyFill="1" applyBorder="1" applyAlignment="1">
      <alignment horizontal="right" vertical="top"/>
    </xf>
    <xf numFmtId="164" fontId="11" fillId="0" borderId="0" xfId="1" applyFont="1" applyFill="1" applyBorder="1" applyAlignment="1">
      <alignment vertical="top"/>
    </xf>
    <xf numFmtId="164" fontId="15" fillId="0" borderId="0" xfId="1" applyFont="1" applyFill="1" applyAlignment="1">
      <alignment vertical="top"/>
    </xf>
    <xf numFmtId="164" fontId="16" fillId="0" borderId="0" xfId="1" applyFont="1" applyFill="1" applyAlignment="1">
      <alignment vertical="top"/>
    </xf>
    <xf numFmtId="164" fontId="17" fillId="0" borderId="0" xfId="1" applyFont="1" applyFill="1" applyAlignment="1">
      <alignment vertical="top"/>
    </xf>
    <xf numFmtId="165" fontId="15" fillId="0" borderId="0" xfId="1" applyNumberFormat="1" applyFont="1" applyFill="1" applyAlignment="1">
      <alignment vertical="top"/>
    </xf>
    <xf numFmtId="169" fontId="10" fillId="0" borderId="0" xfId="0" applyFont="1" applyFill="1">
      <alignment vertical="top"/>
    </xf>
    <xf numFmtId="164" fontId="11" fillId="0" borderId="0" xfId="1" applyFont="1" applyFill="1" applyAlignment="1">
      <alignment horizontal="right" vertical="top"/>
    </xf>
    <xf numFmtId="164" fontId="13" fillId="0" borderId="0" xfId="1" applyFont="1" applyBorder="1" applyAlignment="1">
      <alignment vertical="top"/>
    </xf>
    <xf numFmtId="170" fontId="15" fillId="0" borderId="0" xfId="2" applyFont="1" applyFill="1">
      <alignment vertical="top"/>
    </xf>
    <xf numFmtId="169" fontId="11" fillId="0" borderId="0" xfId="0" applyFont="1" applyFill="1" applyBorder="1">
      <alignment vertical="top"/>
    </xf>
    <xf numFmtId="169" fontId="12" fillId="0" borderId="0" xfId="0" applyFont="1" applyFill="1" applyBorder="1">
      <alignment vertical="top"/>
    </xf>
    <xf numFmtId="169" fontId="13" fillId="0" borderId="0" xfId="0" applyFont="1" applyFill="1" applyBorder="1">
      <alignment vertical="top"/>
    </xf>
    <xf numFmtId="169" fontId="13" fillId="0" borderId="0" xfId="0" applyFont="1" applyBorder="1">
      <alignment vertical="top"/>
    </xf>
    <xf numFmtId="169" fontId="13" fillId="0" borderId="0" xfId="0" applyFont="1">
      <alignment vertical="top"/>
    </xf>
    <xf numFmtId="174" fontId="20" fillId="0" borderId="0" xfId="4" applyNumberFormat="1" applyFont="1" applyFill="1" applyBorder="1">
      <alignment vertical="top"/>
    </xf>
    <xf numFmtId="174" fontId="20" fillId="5" borderId="0" xfId="4" applyNumberFormat="1" applyFont="1" applyFill="1" applyBorder="1">
      <alignment vertical="top"/>
    </xf>
    <xf numFmtId="174" fontId="13" fillId="0" borderId="0" xfId="0" applyNumberFormat="1" applyFont="1" applyFill="1" applyBorder="1">
      <alignment vertical="top"/>
    </xf>
    <xf numFmtId="174" fontId="11" fillId="0" borderId="0" xfId="7" applyNumberFormat="1" applyFill="1" applyBorder="1">
      <alignment vertical="top"/>
    </xf>
    <xf numFmtId="174" fontId="12" fillId="0" borderId="0" xfId="8" applyNumberFormat="1" applyFill="1" applyBorder="1">
      <alignment vertical="top"/>
    </xf>
    <xf numFmtId="174" fontId="18" fillId="0" borderId="0" xfId="8" applyNumberFormat="1" applyFont="1" applyFill="1" applyBorder="1">
      <alignment vertical="top"/>
    </xf>
    <xf numFmtId="174" fontId="13" fillId="0" borderId="0" xfId="9" applyNumberFormat="1" applyFill="1" applyBorder="1">
      <alignment horizontal="right" vertical="top"/>
    </xf>
    <xf numFmtId="0" fontId="11" fillId="0" borderId="0" xfId="7" applyNumberFormat="1" applyFill="1" applyBorder="1">
      <alignment vertical="top"/>
    </xf>
    <xf numFmtId="0" fontId="12" fillId="0" borderId="0" xfId="8" applyBorder="1">
      <alignment vertical="top"/>
    </xf>
    <xf numFmtId="0" fontId="18" fillId="0" borderId="0" xfId="8" applyFont="1" applyBorder="1">
      <alignment vertical="top"/>
    </xf>
    <xf numFmtId="0" fontId="13" fillId="0" borderId="0" xfId="9" applyBorder="1">
      <alignment horizontal="right" vertical="top"/>
    </xf>
    <xf numFmtId="172" fontId="14" fillId="0" borderId="0" xfId="5" applyFont="1" applyBorder="1">
      <alignment vertical="top"/>
    </xf>
    <xf numFmtId="172" fontId="14" fillId="0" borderId="0" xfId="5" applyFont="1" applyFill="1" applyBorder="1">
      <alignment vertical="top"/>
    </xf>
    <xf numFmtId="172" fontId="15" fillId="0" borderId="0" xfId="5" applyFont="1" applyBorder="1">
      <alignment vertical="top"/>
    </xf>
    <xf numFmtId="172" fontId="13" fillId="0" borderId="0" xfId="5" applyFont="1" applyBorder="1">
      <alignment vertical="top"/>
    </xf>
    <xf numFmtId="172" fontId="13" fillId="0" borderId="0" xfId="5" applyFont="1" applyFill="1" applyBorder="1">
      <alignment vertical="top"/>
    </xf>
    <xf numFmtId="169" fontId="15" fillId="0" borderId="0" xfId="0" applyFont="1" applyBorder="1">
      <alignment vertical="top"/>
    </xf>
    <xf numFmtId="164" fontId="14" fillId="0" borderId="0" xfId="1" applyFont="1" applyBorder="1" applyAlignment="1">
      <alignment vertical="top"/>
    </xf>
    <xf numFmtId="167" fontId="13" fillId="0" borderId="0" xfId="3" applyFont="1" applyBorder="1">
      <alignment vertical="top"/>
    </xf>
    <xf numFmtId="164" fontId="20" fillId="0" borderId="0" xfId="1" applyFont="1" applyFill="1" applyBorder="1" applyAlignment="1">
      <alignment vertical="top"/>
    </xf>
    <xf numFmtId="0" fontId="12" fillId="0" borderId="0" xfId="8" applyFill="1" applyBorder="1">
      <alignment vertical="top"/>
    </xf>
    <xf numFmtId="0" fontId="18" fillId="0" borderId="0" xfId="8" applyFont="1" applyFill="1" applyBorder="1">
      <alignment vertical="top"/>
    </xf>
    <xf numFmtId="0" fontId="13" fillId="0" borderId="0" xfId="9" applyFill="1" applyBorder="1">
      <alignment horizontal="right" vertical="top"/>
    </xf>
    <xf numFmtId="0" fontId="11" fillId="0" borderId="0" xfId="7" applyNumberFormat="1" applyBorder="1">
      <alignment vertical="top"/>
    </xf>
    <xf numFmtId="168" fontId="11" fillId="0" borderId="0" xfId="7" applyBorder="1">
      <alignment vertical="top"/>
    </xf>
    <xf numFmtId="168" fontId="12" fillId="0" borderId="0" xfId="8" applyNumberFormat="1" applyFill="1" applyBorder="1">
      <alignment vertical="top"/>
    </xf>
    <xf numFmtId="168" fontId="18" fillId="0" borderId="0" xfId="8" applyNumberFormat="1" applyFont="1" applyFill="1" applyBorder="1">
      <alignment vertical="top"/>
    </xf>
    <xf numFmtId="168" fontId="13" fillId="0" borderId="0" xfId="9" applyNumberFormat="1" applyBorder="1">
      <alignment horizontal="right" vertical="top"/>
    </xf>
    <xf numFmtId="168" fontId="11" fillId="0" borderId="0" xfId="7" applyFill="1" applyBorder="1">
      <alignment vertical="top"/>
    </xf>
    <xf numFmtId="168" fontId="13" fillId="0" borderId="0" xfId="9" applyNumberFormat="1" applyFill="1" applyBorder="1">
      <alignment horizontal="right" vertical="top"/>
    </xf>
    <xf numFmtId="175" fontId="11" fillId="0" borderId="0" xfId="7" applyNumberFormat="1" applyFill="1" applyBorder="1">
      <alignment vertical="top"/>
    </xf>
    <xf numFmtId="175" fontId="12" fillId="0" borderId="0" xfId="8" applyNumberFormat="1" applyFill="1" applyBorder="1">
      <alignment vertical="top"/>
    </xf>
    <xf numFmtId="175" fontId="18" fillId="0" borderId="0" xfId="8" applyNumberFormat="1" applyFont="1" applyFill="1" applyBorder="1">
      <alignment vertical="top"/>
    </xf>
    <xf numFmtId="175" fontId="13" fillId="0" borderId="0" xfId="9" applyNumberFormat="1" applyFill="1" applyBorder="1">
      <alignment horizontal="right" vertical="top"/>
    </xf>
    <xf numFmtId="168" fontId="12" fillId="0" borderId="0" xfId="8" applyNumberFormat="1" applyBorder="1">
      <alignment vertical="top"/>
    </xf>
    <xf numFmtId="168" fontId="18" fillId="0" borderId="0" xfId="8" applyNumberFormat="1" applyFont="1" applyBorder="1">
      <alignment vertical="top"/>
    </xf>
    <xf numFmtId="167" fontId="19" fillId="0" borderId="0" xfId="3" applyFont="1" applyBorder="1">
      <alignment vertical="top"/>
    </xf>
    <xf numFmtId="176" fontId="13" fillId="0" borderId="0" xfId="0" applyNumberFormat="1" applyFont="1" applyFill="1" applyBorder="1">
      <alignment vertical="top"/>
    </xf>
    <xf numFmtId="164" fontId="19" fillId="0" borderId="0" xfId="1" applyFont="1" applyFill="1" applyBorder="1" applyAlignment="1">
      <alignment vertical="top"/>
    </xf>
    <xf numFmtId="167" fontId="19" fillId="0" borderId="0" xfId="3" applyFont="1" applyFill="1" applyBorder="1">
      <alignment vertical="top"/>
    </xf>
    <xf numFmtId="169" fontId="20" fillId="0" borderId="0" xfId="0" applyFont="1" applyBorder="1">
      <alignment vertical="top"/>
    </xf>
    <xf numFmtId="169" fontId="20" fillId="7" borderId="0" xfId="0" applyFont="1" applyFill="1" applyBorder="1">
      <alignment vertical="top"/>
    </xf>
    <xf numFmtId="169" fontId="21" fillId="8" borderId="0" xfId="0" applyFont="1" applyFill="1">
      <alignment vertical="top"/>
    </xf>
    <xf numFmtId="169" fontId="22" fillId="8" borderId="0" xfId="0" applyFont="1" applyFill="1" applyAlignment="1"/>
    <xf numFmtId="169" fontId="23" fillId="8" borderId="0" xfId="0" applyFont="1" applyFill="1" applyAlignment="1"/>
    <xf numFmtId="164" fontId="22" fillId="8" borderId="0" xfId="1" applyFont="1" applyFill="1"/>
    <xf numFmtId="164" fontId="14" fillId="0" borderId="0" xfId="1" applyFont="1" applyFill="1" applyBorder="1" applyAlignment="1">
      <alignment vertical="top"/>
    </xf>
    <xf numFmtId="164" fontId="15" fillId="0" borderId="0" xfId="1" applyFont="1" applyFill="1" applyBorder="1" applyAlignment="1">
      <alignment vertical="top"/>
    </xf>
    <xf numFmtId="172" fontId="15" fillId="0" borderId="0" xfId="5" applyFont="1" applyFill="1" applyBorder="1">
      <alignment vertical="top"/>
    </xf>
    <xf numFmtId="164" fontId="14" fillId="0" borderId="0" xfId="0" applyNumberFormat="1" applyFont="1" applyFill="1" applyBorder="1">
      <alignment vertical="top"/>
    </xf>
    <xf numFmtId="0" fontId="14" fillId="0" borderId="0" xfId="0" applyNumberFormat="1" applyFont="1" applyFill="1" applyBorder="1">
      <alignment vertical="top"/>
    </xf>
    <xf numFmtId="169" fontId="22" fillId="8" borderId="0" xfId="0" applyFont="1" applyFill="1">
      <alignment vertical="top"/>
    </xf>
    <xf numFmtId="169" fontId="11" fillId="9" borderId="0" xfId="0" applyFont="1" applyFill="1" applyBorder="1">
      <alignment vertical="top"/>
    </xf>
    <xf numFmtId="169" fontId="13" fillId="9" borderId="0" xfId="0" applyFont="1" applyFill="1" applyBorder="1">
      <alignment vertical="top"/>
    </xf>
    <xf numFmtId="169" fontId="11" fillId="9" borderId="0" xfId="0" applyFont="1" applyFill="1" applyBorder="1" applyAlignment="1">
      <alignment horizontal="left" vertical="top"/>
    </xf>
    <xf numFmtId="169" fontId="11" fillId="0" borderId="0" xfId="0" applyFont="1">
      <alignment vertical="top"/>
    </xf>
    <xf numFmtId="169" fontId="12" fillId="0" borderId="0" xfId="0" applyFont="1">
      <alignment vertical="top"/>
    </xf>
    <xf numFmtId="169" fontId="13" fillId="0" borderId="0" xfId="0" applyFont="1" applyAlignment="1">
      <alignment horizontal="right" vertical="top"/>
    </xf>
    <xf numFmtId="169" fontId="13" fillId="3" borderId="0" xfId="0" applyFont="1" applyFill="1" applyBorder="1" applyAlignment="1">
      <alignment horizontal="left" vertical="top"/>
    </xf>
    <xf numFmtId="169" fontId="13" fillId="0" borderId="0" xfId="0" applyFont="1" applyAlignment="1">
      <alignment horizontal="left" vertical="top"/>
    </xf>
    <xf numFmtId="169" fontId="13" fillId="5" borderId="0" xfId="0" applyFont="1" applyFill="1" applyBorder="1" applyAlignment="1">
      <alignment horizontal="left" vertical="top"/>
    </xf>
    <xf numFmtId="169" fontId="13" fillId="11" borderId="0" xfId="0" applyFont="1" applyFill="1" applyBorder="1" applyAlignment="1">
      <alignment horizontal="left" vertical="top"/>
    </xf>
    <xf numFmtId="169" fontId="13" fillId="12" borderId="0" xfId="0" applyFont="1" applyFill="1" applyBorder="1" applyAlignment="1">
      <alignment horizontal="left" vertical="top"/>
    </xf>
    <xf numFmtId="169" fontId="11" fillId="0" borderId="0" xfId="0" applyFont="1" applyBorder="1">
      <alignment vertical="top"/>
    </xf>
    <xf numFmtId="169" fontId="12" fillId="0" borderId="0" xfId="0" applyFont="1" applyBorder="1">
      <alignment vertical="top"/>
    </xf>
    <xf numFmtId="169" fontId="13" fillId="0" borderId="0" xfId="0" applyFont="1" applyBorder="1" applyAlignment="1">
      <alignment horizontal="right" vertical="top"/>
    </xf>
    <xf numFmtId="169" fontId="14" fillId="0" borderId="0" xfId="0" applyFont="1" applyBorder="1">
      <alignment vertical="top"/>
    </xf>
    <xf numFmtId="169" fontId="24" fillId="0" borderId="0" xfId="0" applyFont="1" applyBorder="1">
      <alignment vertical="top"/>
    </xf>
    <xf numFmtId="169" fontId="13" fillId="3" borderId="0" xfId="0" applyFont="1" applyFill="1" applyBorder="1">
      <alignment vertical="top"/>
    </xf>
    <xf numFmtId="169" fontId="13" fillId="5" borderId="0" xfId="0" applyFont="1" applyFill="1" applyBorder="1">
      <alignment vertical="top"/>
    </xf>
    <xf numFmtId="169" fontId="14" fillId="5" borderId="0" xfId="0" applyFont="1" applyFill="1" applyBorder="1">
      <alignment vertical="top"/>
    </xf>
    <xf numFmtId="169" fontId="13" fillId="10" borderId="0" xfId="0" applyFont="1" applyFill="1" applyBorder="1">
      <alignment vertical="top"/>
    </xf>
    <xf numFmtId="169" fontId="13" fillId="11" borderId="0" xfId="0" applyFont="1" applyFill="1" applyBorder="1">
      <alignment vertical="top"/>
    </xf>
    <xf numFmtId="169" fontId="13" fillId="13" borderId="0" xfId="0" applyFont="1" applyFill="1" applyBorder="1">
      <alignment vertical="top"/>
    </xf>
    <xf numFmtId="169" fontId="13" fillId="12" borderId="0" xfId="0" applyFont="1" applyFill="1" applyBorder="1">
      <alignment vertical="top"/>
    </xf>
    <xf numFmtId="169" fontId="11" fillId="0" borderId="0" xfId="0" applyFont="1" applyFill="1">
      <alignment vertical="top"/>
    </xf>
    <xf numFmtId="169" fontId="12" fillId="0" borderId="0" xfId="0" applyFont="1" applyFill="1">
      <alignment vertical="top"/>
    </xf>
    <xf numFmtId="169" fontId="13" fillId="14" borderId="0" xfId="0" applyFont="1" applyFill="1" applyBorder="1">
      <alignment vertical="top"/>
    </xf>
    <xf numFmtId="169" fontId="13" fillId="15" borderId="0" xfId="0" applyFont="1" applyFill="1" applyBorder="1">
      <alignment vertical="top"/>
    </xf>
    <xf numFmtId="169" fontId="13" fillId="16" borderId="0" xfId="0" applyFont="1" applyFill="1" applyBorder="1">
      <alignment vertical="top"/>
    </xf>
    <xf numFmtId="169" fontId="0" fillId="0" borderId="0" xfId="0" applyAlignment="1"/>
    <xf numFmtId="169" fontId="25" fillId="17" borderId="0" xfId="0" applyFont="1" applyFill="1">
      <alignment vertical="top"/>
    </xf>
    <xf numFmtId="169" fontId="0" fillId="17" borderId="0" xfId="0" applyFill="1">
      <alignment vertical="top"/>
    </xf>
    <xf numFmtId="169" fontId="19" fillId="0" borderId="0" xfId="0" applyFont="1" applyFill="1">
      <alignment vertical="top"/>
    </xf>
    <xf numFmtId="169" fontId="19" fillId="2" borderId="0" xfId="0" applyFont="1" applyFill="1">
      <alignment vertical="top"/>
    </xf>
    <xf numFmtId="169" fontId="26" fillId="0" borderId="0" xfId="0" applyFont="1" applyFill="1">
      <alignment vertical="top"/>
    </xf>
    <xf numFmtId="164" fontId="25" fillId="2" borderId="0" xfId="1" applyFont="1" applyFill="1" applyAlignment="1">
      <alignment horizontal="right" indent="1"/>
    </xf>
    <xf numFmtId="169" fontId="25" fillId="2" borderId="0" xfId="0" applyFont="1" applyFill="1">
      <alignment vertical="top"/>
    </xf>
    <xf numFmtId="169" fontId="26" fillId="2" borderId="0" xfId="0" applyFont="1" applyFill="1">
      <alignment vertical="top"/>
    </xf>
    <xf numFmtId="169" fontId="19" fillId="0" borderId="0" xfId="0" applyFont="1">
      <alignment vertical="top"/>
    </xf>
    <xf numFmtId="0" fontId="19" fillId="0" borderId="0" xfId="0" applyNumberFormat="1" applyFont="1">
      <alignment vertical="top"/>
    </xf>
    <xf numFmtId="169" fontId="19" fillId="0" borderId="0" xfId="0" applyFont="1" applyBorder="1">
      <alignment vertical="top"/>
    </xf>
    <xf numFmtId="169" fontId="25" fillId="17" borderId="0" xfId="0" applyFont="1" applyFill="1" applyAlignment="1"/>
    <xf numFmtId="169" fontId="13" fillId="18" borderId="0" xfId="0" applyFont="1" applyFill="1" applyAlignment="1">
      <alignment horizontal="right" vertical="top"/>
    </xf>
    <xf numFmtId="0" fontId="12" fillId="0" borderId="0" xfId="8" applyFill="1">
      <alignment vertical="top"/>
    </xf>
    <xf numFmtId="0" fontId="18" fillId="0" borderId="0" xfId="8" applyFont="1" applyFill="1">
      <alignment vertical="top"/>
    </xf>
    <xf numFmtId="0" fontId="13" fillId="0" borderId="0" xfId="9">
      <alignment horizontal="right" vertical="top"/>
    </xf>
    <xf numFmtId="0" fontId="13" fillId="0" borderId="0" xfId="9" applyFill="1">
      <alignment horizontal="right" vertical="top"/>
    </xf>
    <xf numFmtId="169" fontId="13" fillId="0" borderId="0" xfId="0" applyFont="1" applyFill="1">
      <alignment vertical="top"/>
    </xf>
    <xf numFmtId="169" fontId="25" fillId="5" borderId="0" xfId="0" applyFont="1" applyFill="1">
      <alignment vertical="top"/>
    </xf>
    <xf numFmtId="169" fontId="25" fillId="5" borderId="0" xfId="0" applyFont="1" applyFill="1" applyAlignment="1">
      <alignment wrapText="1"/>
    </xf>
    <xf numFmtId="169" fontId="25" fillId="5" borderId="0" xfId="0" applyFont="1" applyFill="1" applyAlignment="1">
      <alignment vertical="top" wrapText="1"/>
    </xf>
    <xf numFmtId="166" fontId="13" fillId="0" borderId="0" xfId="0" applyNumberFormat="1" applyFont="1" applyFill="1" applyBorder="1" applyAlignment="1">
      <alignment horizontal="left" vertical="top"/>
    </xf>
    <xf numFmtId="169" fontId="10" fillId="0" borderId="0" xfId="0" applyFont="1">
      <alignment vertical="top"/>
    </xf>
    <xf numFmtId="169" fontId="13" fillId="19" borderId="0" xfId="0" applyFont="1" applyFill="1" applyBorder="1">
      <alignment vertical="top"/>
    </xf>
    <xf numFmtId="169" fontId="13" fillId="9" borderId="0" xfId="0" applyFont="1" applyFill="1" applyBorder="1" applyAlignment="1">
      <alignment horizontal="left" vertical="top"/>
    </xf>
    <xf numFmtId="176" fontId="13" fillId="0" borderId="0" xfId="1" applyNumberFormat="1" applyFont="1" applyFill="1" applyBorder="1" applyAlignment="1">
      <alignment vertical="top"/>
    </xf>
    <xf numFmtId="176" fontId="13" fillId="0" borderId="0" xfId="1" applyNumberFormat="1" applyFont="1" applyBorder="1" applyAlignment="1">
      <alignment vertical="top"/>
    </xf>
    <xf numFmtId="169" fontId="19" fillId="5" borderId="0" xfId="0" applyFont="1" applyFill="1">
      <alignment vertical="top"/>
    </xf>
    <xf numFmtId="169" fontId="13" fillId="0" borderId="0" xfId="14">
      <alignment vertical="top"/>
    </xf>
    <xf numFmtId="169" fontId="11" fillId="0" borderId="0" xfId="14" applyFont="1" applyFill="1" applyBorder="1">
      <alignment vertical="top"/>
    </xf>
    <xf numFmtId="169" fontId="12" fillId="0" borderId="0" xfId="14" applyFont="1" applyFill="1" applyBorder="1">
      <alignment vertical="top"/>
    </xf>
    <xf numFmtId="169" fontId="13" fillId="0" borderId="0" xfId="14" applyFont="1" applyFill="1" applyBorder="1">
      <alignment vertical="top"/>
    </xf>
    <xf numFmtId="169" fontId="13" fillId="0" borderId="0" xfId="14" applyFont="1" applyBorder="1">
      <alignment vertical="top"/>
    </xf>
    <xf numFmtId="167" fontId="11" fillId="0" borderId="0" xfId="15" applyFont="1" applyBorder="1">
      <alignment vertical="top"/>
    </xf>
    <xf numFmtId="169" fontId="13" fillId="20" borderId="0" xfId="14" applyFont="1" applyFill="1" applyAlignment="1">
      <alignment horizontal="right" vertical="top"/>
    </xf>
    <xf numFmtId="169" fontId="31" fillId="0" borderId="0" xfId="14" applyFont="1" applyBorder="1" applyAlignment="1">
      <alignment horizontal="left" vertical="top"/>
    </xf>
    <xf numFmtId="179" fontId="13" fillId="0" borderId="0" xfId="14" applyNumberFormat="1" applyFont="1" applyFill="1">
      <alignment vertical="top"/>
    </xf>
    <xf numFmtId="169" fontId="11" fillId="0" borderId="0" xfId="14" applyFont="1" applyBorder="1" applyAlignment="1">
      <alignment horizontal="right" vertical="top"/>
    </xf>
    <xf numFmtId="169" fontId="11" fillId="0" borderId="0" xfId="14" applyFont="1" applyBorder="1">
      <alignment vertical="top"/>
    </xf>
    <xf numFmtId="178" fontId="13" fillId="0" borderId="0" xfId="14" applyNumberFormat="1" applyFont="1" applyFill="1" applyBorder="1">
      <alignment vertical="top"/>
    </xf>
    <xf numFmtId="169" fontId="0" fillId="0" borderId="0" xfId="0" applyFill="1">
      <alignment vertical="top"/>
    </xf>
    <xf numFmtId="169" fontId="20" fillId="0" borderId="0" xfId="0" applyFont="1">
      <alignment vertical="top"/>
    </xf>
    <xf numFmtId="0" fontId="35" fillId="5" borderId="0" xfId="0" applyNumberFormat="1" applyFont="1" applyFill="1" applyAlignment="1">
      <alignment horizontal="right" vertical="center" wrapText="1"/>
    </xf>
    <xf numFmtId="169" fontId="25" fillId="0" borderId="0" xfId="0" applyFont="1" applyFill="1">
      <alignment vertical="top"/>
    </xf>
    <xf numFmtId="167" fontId="25" fillId="0" borderId="0" xfId="0" applyNumberFormat="1" applyFont="1">
      <alignment vertical="top"/>
    </xf>
    <xf numFmtId="164" fontId="15" fillId="5" borderId="0" xfId="1" applyFont="1" applyFill="1" applyAlignment="1">
      <alignment vertical="top"/>
    </xf>
    <xf numFmtId="164" fontId="36" fillId="0" borderId="0" xfId="1" applyFont="1" applyFill="1" applyAlignment="1">
      <alignment vertical="top"/>
    </xf>
    <xf numFmtId="164" fontId="37" fillId="0" borderId="0" xfId="1" applyFont="1" applyFill="1" applyAlignment="1">
      <alignment vertical="top"/>
    </xf>
    <xf numFmtId="164" fontId="28" fillId="0" borderId="0" xfId="1" applyFont="1" applyFill="1" applyAlignment="1">
      <alignment vertical="top"/>
    </xf>
    <xf numFmtId="164" fontId="15" fillId="0" borderId="0" xfId="1" applyFont="1" applyFill="1" applyAlignment="1">
      <alignment horizontal="right" vertical="top"/>
    </xf>
    <xf numFmtId="164" fontId="28" fillId="0" borderId="0" xfId="1" applyFont="1" applyFill="1" applyAlignment="1">
      <alignment horizontal="right" vertical="top"/>
    </xf>
    <xf numFmtId="170" fontId="15" fillId="0" borderId="0" xfId="16" applyFont="1">
      <alignment vertical="top"/>
    </xf>
    <xf numFmtId="169" fontId="15" fillId="0" borderId="0" xfId="0" applyFont="1">
      <alignment vertical="top"/>
    </xf>
    <xf numFmtId="170" fontId="28" fillId="0" borderId="0" xfId="16" applyFont="1">
      <alignment vertical="top"/>
    </xf>
    <xf numFmtId="177" fontId="13" fillId="0" borderId="0" xfId="0" applyNumberFormat="1" applyFont="1">
      <alignment vertical="top"/>
    </xf>
    <xf numFmtId="169" fontId="36" fillId="0" borderId="0" xfId="0" applyFont="1">
      <alignment vertical="top"/>
    </xf>
    <xf numFmtId="169" fontId="37" fillId="0" borderId="0" xfId="0" applyFont="1">
      <alignment vertical="top"/>
    </xf>
    <xf numFmtId="169" fontId="28" fillId="0" borderId="0" xfId="0" applyFont="1">
      <alignment vertical="top"/>
    </xf>
    <xf numFmtId="180" fontId="28" fillId="0" borderId="0" xfId="0" applyNumberFormat="1" applyFont="1">
      <alignment vertical="top"/>
    </xf>
    <xf numFmtId="169" fontId="8" fillId="0" borderId="0" xfId="0" applyFont="1">
      <alignment vertical="top"/>
    </xf>
    <xf numFmtId="177" fontId="15" fillId="0" borderId="0" xfId="0" applyNumberFormat="1" applyFont="1">
      <alignment vertical="top"/>
    </xf>
    <xf numFmtId="169" fontId="13" fillId="0" borderId="0" xfId="0" quotePrefix="1" applyFont="1">
      <alignment vertical="top"/>
    </xf>
    <xf numFmtId="170" fontId="20" fillId="0" borderId="0" xfId="16" applyFont="1">
      <alignment vertical="top"/>
    </xf>
    <xf numFmtId="171" fontId="28" fillId="0" borderId="0" xfId="21" applyFont="1">
      <alignment vertical="top"/>
    </xf>
    <xf numFmtId="177" fontId="13" fillId="0" borderId="0" xfId="21" applyNumberFormat="1" applyFont="1">
      <alignment vertical="top"/>
    </xf>
    <xf numFmtId="170" fontId="13" fillId="0" borderId="0" xfId="16" applyFont="1">
      <alignment vertical="top"/>
    </xf>
    <xf numFmtId="177" fontId="13" fillId="5" borderId="0" xfId="21" applyNumberFormat="1" applyFont="1" applyFill="1">
      <alignment vertical="top"/>
    </xf>
    <xf numFmtId="169" fontId="11" fillId="9" borderId="0" xfId="0" applyFont="1" applyFill="1">
      <alignment vertical="top"/>
    </xf>
    <xf numFmtId="169" fontId="13" fillId="9" borderId="0" xfId="0" applyFont="1" applyFill="1">
      <alignment vertical="top"/>
    </xf>
    <xf numFmtId="177" fontId="19" fillId="0" borderId="0" xfId="0" applyNumberFormat="1" applyFont="1">
      <alignment vertical="top"/>
    </xf>
    <xf numFmtId="169" fontId="16" fillId="0" borderId="0" xfId="0" applyFont="1">
      <alignment vertical="top"/>
    </xf>
    <xf numFmtId="169" fontId="17" fillId="0" borderId="0" xfId="0" applyFont="1">
      <alignment vertical="top"/>
    </xf>
    <xf numFmtId="169" fontId="15" fillId="0" borderId="0" xfId="0" quotePrefix="1" applyFont="1">
      <alignment vertical="top"/>
    </xf>
    <xf numFmtId="169" fontId="58" fillId="0" borderId="0" xfId="0" applyFont="1">
      <alignment vertical="top"/>
    </xf>
    <xf numFmtId="171" fontId="20" fillId="0" borderId="0" xfId="21" applyFont="1">
      <alignment vertical="top"/>
    </xf>
    <xf numFmtId="169" fontId="33" fillId="0" borderId="0" xfId="0" applyFont="1">
      <alignment vertical="top"/>
    </xf>
    <xf numFmtId="169" fontId="34" fillId="0" borderId="0" xfId="0" applyFont="1">
      <alignment vertical="top"/>
    </xf>
    <xf numFmtId="169" fontId="20" fillId="0" borderId="0" xfId="0" applyFont="1" applyFill="1" applyBorder="1">
      <alignment vertical="top"/>
    </xf>
    <xf numFmtId="176" fontId="13" fillId="0" borderId="0" xfId="1" applyNumberFormat="1" applyFont="1" applyAlignment="1">
      <alignment vertical="top"/>
    </xf>
    <xf numFmtId="176" fontId="13" fillId="0" borderId="0" xfId="1" applyNumberFormat="1" applyFont="1" applyFill="1" applyAlignment="1">
      <alignment vertical="top"/>
    </xf>
    <xf numFmtId="169" fontId="5" fillId="0" borderId="0" xfId="0" applyFont="1">
      <alignment vertical="top"/>
    </xf>
    <xf numFmtId="176" fontId="28" fillId="0" borderId="0" xfId="1" applyNumberFormat="1" applyFont="1" applyFill="1" applyAlignment="1">
      <alignment vertical="top"/>
    </xf>
    <xf numFmtId="164" fontId="36" fillId="0" borderId="0" xfId="1" applyFont="1" applyAlignment="1">
      <alignment vertical="top"/>
    </xf>
    <xf numFmtId="164" fontId="28" fillId="0" borderId="0" xfId="1" applyFont="1" applyAlignment="1">
      <alignment horizontal="right" vertical="top"/>
    </xf>
    <xf numFmtId="170" fontId="15" fillId="0" borderId="0" xfId="2" applyFont="1">
      <alignment vertical="top"/>
    </xf>
    <xf numFmtId="169" fontId="28" fillId="0" borderId="0" xfId="0" applyFont="1" applyAlignment="1">
      <alignment horizontal="right" vertical="top"/>
    </xf>
    <xf numFmtId="171" fontId="36" fillId="0" borderId="0" xfId="21" applyFont="1" applyFill="1">
      <alignment vertical="top"/>
    </xf>
    <xf numFmtId="171" fontId="37" fillId="0" borderId="0" xfId="21" applyFont="1" applyFill="1">
      <alignment vertical="top"/>
    </xf>
    <xf numFmtId="169" fontId="28" fillId="0" borderId="0" xfId="0" applyFont="1" applyFill="1" applyAlignment="1">
      <alignment horizontal="right" vertical="top"/>
    </xf>
    <xf numFmtId="180" fontId="13" fillId="0" borderId="0" xfId="21" applyNumberFormat="1" applyFont="1" applyFill="1">
      <alignment vertical="top"/>
    </xf>
    <xf numFmtId="180" fontId="13" fillId="5" borderId="0" xfId="21" applyNumberFormat="1" applyFont="1" applyFill="1">
      <alignment vertical="top"/>
    </xf>
    <xf numFmtId="180" fontId="11" fillId="0" borderId="0" xfId="21" applyNumberFormat="1" applyFont="1" applyFill="1">
      <alignment vertical="top"/>
    </xf>
    <xf numFmtId="180" fontId="12" fillId="0" borderId="0" xfId="21" applyNumberFormat="1" applyFont="1" applyFill="1">
      <alignment vertical="top"/>
    </xf>
    <xf numFmtId="177" fontId="13" fillId="0" borderId="0" xfId="21" applyNumberFormat="1" applyFont="1" applyFill="1">
      <alignment vertical="top"/>
    </xf>
    <xf numFmtId="177" fontId="13" fillId="0" borderId="0" xfId="21" applyNumberFormat="1" applyFont="1" applyFill="1" applyBorder="1">
      <alignment vertical="top"/>
    </xf>
    <xf numFmtId="177" fontId="15" fillId="0" borderId="0" xfId="0" applyNumberFormat="1" applyFont="1" applyFill="1">
      <alignment vertical="top"/>
    </xf>
    <xf numFmtId="180" fontId="13" fillId="0" borderId="0" xfId="21" applyNumberFormat="1" applyFont="1">
      <alignment vertical="top"/>
    </xf>
    <xf numFmtId="177" fontId="28" fillId="0" borderId="0" xfId="21" applyNumberFormat="1" applyFont="1" applyFill="1" applyBorder="1">
      <alignment vertical="top"/>
    </xf>
    <xf numFmtId="177" fontId="28" fillId="0" borderId="0" xfId="21" applyNumberFormat="1" applyFont="1" applyBorder="1">
      <alignment vertical="top"/>
    </xf>
    <xf numFmtId="180" fontId="11" fillId="0" borderId="0" xfId="21" applyNumberFormat="1" applyFont="1">
      <alignment vertical="top"/>
    </xf>
    <xf numFmtId="169" fontId="15" fillId="0" borderId="0" xfId="21" applyNumberFormat="1" applyFont="1">
      <alignment vertical="top"/>
    </xf>
    <xf numFmtId="169" fontId="28" fillId="0" borderId="2" xfId="0" applyFont="1" applyBorder="1">
      <alignment vertical="top"/>
    </xf>
    <xf numFmtId="169" fontId="13" fillId="0" borderId="2" xfId="0" applyFont="1" applyBorder="1">
      <alignment vertical="top"/>
    </xf>
    <xf numFmtId="180" fontId="11" fillId="0" borderId="0" xfId="21" applyNumberFormat="1" applyFont="1" applyFill="1" applyBorder="1">
      <alignment vertical="top"/>
    </xf>
    <xf numFmtId="169" fontId="13" fillId="0" borderId="0" xfId="0" applyFont="1" applyFill="1" applyBorder="1" applyAlignment="1">
      <alignment horizontal="right" vertical="top"/>
    </xf>
    <xf numFmtId="169" fontId="15" fillId="0" borderId="0" xfId="0" applyFont="1" applyFill="1" applyBorder="1">
      <alignment vertical="top"/>
    </xf>
    <xf numFmtId="177" fontId="11" fillId="0" borderId="0" xfId="21" applyNumberFormat="1" applyFont="1" applyFill="1">
      <alignment vertical="top"/>
    </xf>
    <xf numFmtId="177" fontId="12" fillId="0" borderId="0" xfId="21" applyNumberFormat="1" applyFont="1" applyFill="1">
      <alignment vertical="top"/>
    </xf>
    <xf numFmtId="177" fontId="13" fillId="0" borderId="2" xfId="21" applyNumberFormat="1" applyFont="1" applyFill="1" applyBorder="1">
      <alignment vertical="top"/>
    </xf>
    <xf numFmtId="169" fontId="13" fillId="0" borderId="0" xfId="0" applyFont="1" applyFill="1" applyAlignment="1">
      <alignment horizontal="right" vertical="top"/>
    </xf>
    <xf numFmtId="171" fontId="15" fillId="0" borderId="0" xfId="21" applyFont="1" applyFill="1">
      <alignment vertical="top"/>
    </xf>
    <xf numFmtId="180" fontId="15" fillId="0" borderId="0" xfId="21" applyNumberFormat="1" applyFont="1">
      <alignment vertical="top"/>
    </xf>
    <xf numFmtId="169" fontId="28" fillId="0" borderId="0" xfId="0" applyFont="1" applyFill="1" applyBorder="1">
      <alignment vertical="top"/>
    </xf>
    <xf numFmtId="169" fontId="28" fillId="0" borderId="0" xfId="0" applyFont="1" applyFill="1" applyBorder="1" applyAlignment="1">
      <alignment horizontal="right" vertical="top"/>
    </xf>
    <xf numFmtId="177" fontId="28" fillId="0" borderId="2" xfId="21" applyNumberFormat="1" applyFont="1" applyFill="1" applyBorder="1">
      <alignment vertical="top"/>
    </xf>
    <xf numFmtId="169" fontId="28" fillId="0" borderId="2" xfId="0" applyFont="1" applyFill="1" applyBorder="1">
      <alignment vertical="top"/>
    </xf>
    <xf numFmtId="169" fontId="28" fillId="0" borderId="2" xfId="0" applyFont="1" applyFill="1" applyBorder="1" applyAlignment="1">
      <alignment horizontal="left" vertical="top"/>
    </xf>
    <xf numFmtId="169" fontId="33" fillId="0" borderId="0" xfId="0" applyFont="1" applyFill="1" applyBorder="1">
      <alignment vertical="top"/>
    </xf>
    <xf numFmtId="169" fontId="20" fillId="0" borderId="0" xfId="0" applyFont="1" applyFill="1" applyBorder="1" applyAlignment="1">
      <alignment horizontal="right" vertical="top"/>
    </xf>
    <xf numFmtId="177" fontId="20" fillId="0" borderId="0" xfId="21" applyNumberFormat="1" applyFont="1" applyFill="1" applyBorder="1">
      <alignment vertical="top"/>
    </xf>
    <xf numFmtId="169" fontId="36" fillId="0" borderId="0" xfId="0" applyFont="1" applyFill="1" applyBorder="1">
      <alignment vertical="top"/>
    </xf>
    <xf numFmtId="180" fontId="28" fillId="0" borderId="0" xfId="21" applyNumberFormat="1" applyFont="1" applyFill="1" applyBorder="1">
      <alignment vertical="top"/>
    </xf>
    <xf numFmtId="180" fontId="20" fillId="0" borderId="0" xfId="21" applyNumberFormat="1" applyFont="1" applyFill="1" applyBorder="1">
      <alignment vertical="top"/>
    </xf>
    <xf numFmtId="180" fontId="16" fillId="0" borderId="0" xfId="21" applyNumberFormat="1" applyFont="1">
      <alignment vertical="top"/>
    </xf>
    <xf numFmtId="180" fontId="17" fillId="0" borderId="0" xfId="21" applyNumberFormat="1" applyFont="1" applyFill="1">
      <alignment vertical="top"/>
    </xf>
    <xf numFmtId="177" fontId="15" fillId="0" borderId="0" xfId="21" applyNumberFormat="1" applyFont="1" applyFill="1">
      <alignment vertical="top"/>
    </xf>
    <xf numFmtId="177" fontId="20" fillId="0" borderId="2" xfId="21" applyNumberFormat="1" applyFont="1" applyFill="1" applyBorder="1">
      <alignment vertical="top"/>
    </xf>
    <xf numFmtId="0" fontId="59" fillId="5" borderId="0" xfId="0" applyNumberFormat="1" applyFont="1" applyFill="1" applyAlignment="1">
      <alignment horizontal="right" vertical="center" wrapText="1"/>
    </xf>
    <xf numFmtId="169" fontId="25" fillId="5" borderId="0" xfId="0" applyFont="1" applyFill="1" applyAlignment="1">
      <alignment horizontal="right" vertical="top"/>
    </xf>
    <xf numFmtId="169" fontId="10" fillId="5" borderId="0" xfId="0" applyFont="1" applyFill="1">
      <alignment vertical="top"/>
    </xf>
    <xf numFmtId="177" fontId="13" fillId="0" borderId="0" xfId="0" applyNumberFormat="1" applyFont="1" applyFill="1" applyBorder="1">
      <alignment vertical="top"/>
    </xf>
    <xf numFmtId="169" fontId="57" fillId="9" borderId="0" xfId="0" applyFont="1" applyFill="1" applyBorder="1">
      <alignment vertical="top"/>
    </xf>
    <xf numFmtId="169" fontId="8" fillId="0" borderId="0" xfId="0" applyFont="1" applyFill="1">
      <alignment vertical="top"/>
    </xf>
    <xf numFmtId="169" fontId="13" fillId="0" borderId="0" xfId="0" applyFont="1" applyFill="1" applyBorder="1" applyAlignment="1">
      <alignment horizontal="left" vertical="top"/>
    </xf>
    <xf numFmtId="169" fontId="13" fillId="4" borderId="0" xfId="0" applyFont="1" applyFill="1">
      <alignment vertical="top"/>
    </xf>
    <xf numFmtId="177" fontId="13" fillId="0" borderId="2" xfId="21" applyNumberFormat="1" applyFont="1" applyBorder="1">
      <alignment vertical="top"/>
    </xf>
    <xf numFmtId="177" fontId="11" fillId="0" borderId="2" xfId="21" applyNumberFormat="1" applyFont="1" applyFill="1" applyBorder="1">
      <alignment vertical="top"/>
    </xf>
    <xf numFmtId="177" fontId="28" fillId="0" borderId="0" xfId="4" applyNumberFormat="1" applyFont="1" applyFill="1" applyBorder="1">
      <alignment vertical="top"/>
    </xf>
    <xf numFmtId="177" fontId="28" fillId="5" borderId="0" xfId="4" applyNumberFormat="1" applyFont="1" applyFill="1" applyBorder="1">
      <alignment vertical="top"/>
    </xf>
    <xf numFmtId="180" fontId="36" fillId="0" borderId="0" xfId="21" applyNumberFormat="1" applyFont="1">
      <alignment vertical="top"/>
    </xf>
    <xf numFmtId="180" fontId="37" fillId="0" borderId="0" xfId="21" applyNumberFormat="1" applyFont="1" applyFill="1">
      <alignment vertical="top"/>
    </xf>
    <xf numFmtId="177" fontId="28" fillId="0" borderId="0" xfId="21" applyNumberFormat="1" applyFont="1" applyFill="1">
      <alignment vertical="top"/>
    </xf>
    <xf numFmtId="169" fontId="19" fillId="17" borderId="0" xfId="0" applyFont="1" applyFill="1">
      <alignment vertical="top"/>
    </xf>
    <xf numFmtId="167" fontId="20" fillId="0" borderId="0" xfId="3" applyFont="1" applyFill="1" applyBorder="1">
      <alignment vertical="top"/>
    </xf>
    <xf numFmtId="169" fontId="11" fillId="0" borderId="0" xfId="7" applyNumberFormat="1" applyFill="1" applyBorder="1">
      <alignment vertical="top"/>
    </xf>
    <xf numFmtId="167" fontId="13" fillId="0" borderId="0" xfId="3" applyFont="1" applyFill="1" applyBorder="1" applyAlignment="1">
      <alignment horizontal="right" vertical="top"/>
    </xf>
    <xf numFmtId="167" fontId="13" fillId="0" borderId="0" xfId="3" applyFont="1" applyBorder="1" applyAlignment="1">
      <alignment horizontal="left" vertical="top"/>
    </xf>
    <xf numFmtId="169" fontId="13" fillId="7" borderId="0" xfId="0" applyFont="1" applyFill="1" applyBorder="1">
      <alignment vertical="top"/>
    </xf>
    <xf numFmtId="0" fontId="13" fillId="0" borderId="0" xfId="0" applyNumberFormat="1" applyFont="1" applyBorder="1">
      <alignment vertical="top"/>
    </xf>
    <xf numFmtId="169" fontId="4" fillId="0" borderId="0" xfId="0" applyFont="1">
      <alignment vertical="top"/>
    </xf>
    <xf numFmtId="177" fontId="19" fillId="0" borderId="0" xfId="21" applyNumberFormat="1" applyFont="1">
      <alignment vertical="top"/>
    </xf>
    <xf numFmtId="177" fontId="28" fillId="0" borderId="0" xfId="0" applyNumberFormat="1" applyFont="1">
      <alignment vertical="top"/>
    </xf>
    <xf numFmtId="177" fontId="15" fillId="0" borderId="0" xfId="0" applyNumberFormat="1" applyFont="1" applyFill="1" applyBorder="1">
      <alignment vertical="top"/>
    </xf>
    <xf numFmtId="169" fontId="0" fillId="9" borderId="1" xfId="0" applyFill="1" applyBorder="1">
      <alignment vertical="top"/>
    </xf>
    <xf numFmtId="0" fontId="33" fillId="0" borderId="0" xfId="7" applyNumberFormat="1" applyFont="1" applyBorder="1">
      <alignment vertical="top"/>
    </xf>
    <xf numFmtId="0" fontId="34" fillId="0" borderId="0" xfId="8" applyFont="1" applyFill="1" applyBorder="1">
      <alignment vertical="top"/>
    </xf>
    <xf numFmtId="0" fontId="60" fillId="0" borderId="0" xfId="8" applyFont="1" applyFill="1" applyBorder="1">
      <alignment vertical="top"/>
    </xf>
    <xf numFmtId="0" fontId="20" fillId="0" borderId="0" xfId="9" applyFont="1" applyBorder="1">
      <alignment horizontal="right" vertical="top"/>
    </xf>
    <xf numFmtId="164" fontId="20" fillId="0" borderId="0" xfId="1" applyFont="1" applyBorder="1" applyAlignment="1">
      <alignment vertical="top"/>
    </xf>
    <xf numFmtId="176" fontId="20" fillId="0" borderId="0" xfId="1" applyNumberFormat="1" applyFont="1" applyBorder="1" applyAlignment="1">
      <alignment vertical="top"/>
    </xf>
    <xf numFmtId="169" fontId="8" fillId="9" borderId="0" xfId="0" applyFont="1" applyFill="1" applyBorder="1">
      <alignment vertical="top"/>
    </xf>
    <xf numFmtId="169" fontId="57" fillId="9" borderId="0" xfId="0" applyFont="1" applyFill="1" applyBorder="1" applyAlignment="1">
      <alignment horizontal="right" vertical="top"/>
    </xf>
    <xf numFmtId="169" fontId="57" fillId="0" borderId="0" xfId="0" applyFont="1" applyFill="1" applyBorder="1">
      <alignment vertical="top"/>
    </xf>
    <xf numFmtId="169" fontId="8" fillId="0" borderId="0" xfId="0" applyFont="1" applyFill="1" applyBorder="1">
      <alignment vertical="top"/>
    </xf>
    <xf numFmtId="169" fontId="57" fillId="0" borderId="0" xfId="0" applyFont="1" applyFill="1" applyBorder="1" applyAlignment="1">
      <alignment horizontal="right" vertical="top"/>
    </xf>
    <xf numFmtId="169" fontId="3" fillId="0" borderId="0" xfId="0" applyFont="1">
      <alignment vertical="top"/>
    </xf>
    <xf numFmtId="177" fontId="13" fillId="0" borderId="0" xfId="0" applyNumberFormat="1" applyFont="1" applyAlignment="1">
      <alignment horizontal="right" vertical="top"/>
    </xf>
    <xf numFmtId="170" fontId="13" fillId="0" borderId="0" xfId="2" applyFont="1">
      <alignment vertical="top"/>
    </xf>
    <xf numFmtId="177" fontId="13" fillId="0" borderId="0" xfId="0" applyNumberFormat="1" applyFont="1" applyAlignment="1">
      <alignment horizontal="left" vertical="top"/>
    </xf>
    <xf numFmtId="177" fontId="15" fillId="0" borderId="0" xfId="0" applyNumberFormat="1" applyFont="1" applyAlignment="1">
      <alignment horizontal="left" vertical="top"/>
    </xf>
    <xf numFmtId="169" fontId="19" fillId="17" borderId="0" xfId="0" applyFont="1" applyFill="1" applyAlignment="1"/>
    <xf numFmtId="169" fontId="19" fillId="0" borderId="0" xfId="0" applyFont="1" applyFill="1" applyBorder="1">
      <alignment vertical="top"/>
    </xf>
    <xf numFmtId="169" fontId="13" fillId="0" borderId="0" xfId="21" applyNumberFormat="1" applyFont="1" applyFill="1" applyBorder="1">
      <alignment vertical="top"/>
    </xf>
    <xf numFmtId="169" fontId="13" fillId="6" borderId="0" xfId="21" applyNumberFormat="1" applyFont="1" applyFill="1" applyBorder="1">
      <alignment vertical="top"/>
    </xf>
    <xf numFmtId="176" fontId="19" fillId="0" borderId="0" xfId="0" applyNumberFormat="1" applyFont="1" applyFill="1" applyBorder="1">
      <alignment vertical="top"/>
    </xf>
    <xf numFmtId="169" fontId="0" fillId="0" borderId="0" xfId="0" applyBorder="1">
      <alignment vertical="top"/>
    </xf>
    <xf numFmtId="177" fontId="13" fillId="6" borderId="0" xfId="21" applyNumberFormat="1" applyFont="1" applyFill="1" applyBorder="1">
      <alignment vertical="top"/>
    </xf>
    <xf numFmtId="180" fontId="19" fillId="0" borderId="0" xfId="0" applyNumberFormat="1" applyFont="1" applyFill="1" applyBorder="1">
      <alignment vertical="top"/>
    </xf>
    <xf numFmtId="170" fontId="13" fillId="6" borderId="0" xfId="2" applyFont="1" applyFill="1" applyBorder="1">
      <alignment vertical="top"/>
    </xf>
    <xf numFmtId="170" fontId="19" fillId="0" borderId="0" xfId="2" applyFont="1" applyFill="1" applyBorder="1">
      <alignment vertical="top"/>
    </xf>
    <xf numFmtId="169" fontId="61" fillId="0" borderId="0" xfId="0" applyFont="1" applyFill="1">
      <alignment vertical="top"/>
    </xf>
    <xf numFmtId="177" fontId="13" fillId="0" borderId="0" xfId="0" applyNumberFormat="1" applyFont="1" applyFill="1">
      <alignment vertical="top"/>
    </xf>
    <xf numFmtId="170" fontId="13" fillId="0" borderId="0" xfId="2" applyFont="1" applyFill="1">
      <alignment vertical="top"/>
    </xf>
    <xf numFmtId="169" fontId="0" fillId="3" borderId="1" xfId="0" applyFill="1" applyBorder="1">
      <alignment vertical="top"/>
    </xf>
    <xf numFmtId="169" fontId="0" fillId="5" borderId="1" xfId="0" applyFill="1" applyBorder="1">
      <alignment vertical="top"/>
    </xf>
    <xf numFmtId="172" fontId="13" fillId="3" borderId="0" xfId="5" applyFont="1" applyFill="1" applyBorder="1">
      <alignment vertical="top"/>
    </xf>
    <xf numFmtId="0" fontId="13" fillId="3" borderId="0" xfId="5" applyNumberFormat="1" applyFont="1" applyFill="1" applyBorder="1">
      <alignment vertical="top"/>
    </xf>
    <xf numFmtId="169" fontId="13" fillId="3" borderId="0" xfId="0" applyFont="1" applyFill="1">
      <alignment vertical="top"/>
    </xf>
    <xf numFmtId="171" fontId="13" fillId="3" borderId="0" xfId="4" applyFont="1" applyFill="1">
      <alignment vertical="top"/>
    </xf>
    <xf numFmtId="178" fontId="13" fillId="6" borderId="0" xfId="4" applyNumberFormat="1" applyFont="1" applyFill="1" applyBorder="1">
      <alignment vertical="top"/>
    </xf>
    <xf numFmtId="169" fontId="0" fillId="4" borderId="0" xfId="0" applyFill="1">
      <alignment vertical="top"/>
    </xf>
    <xf numFmtId="169" fontId="2" fillId="0" borderId="0" xfId="0" applyFont="1">
      <alignment vertical="top"/>
    </xf>
    <xf numFmtId="180" fontId="15" fillId="0" borderId="0" xfId="1" applyNumberFormat="1" applyFont="1" applyFill="1" applyAlignment="1">
      <alignment vertical="top"/>
    </xf>
    <xf numFmtId="169" fontId="15" fillId="0" borderId="0" xfId="1" applyNumberFormat="1" applyFont="1" applyFill="1" applyAlignment="1">
      <alignment vertical="top"/>
    </xf>
    <xf numFmtId="177" fontId="15" fillId="0" borderId="0" xfId="1" applyNumberFormat="1" applyFont="1" applyFill="1" applyAlignment="1">
      <alignment vertical="top"/>
    </xf>
    <xf numFmtId="177" fontId="13" fillId="0" borderId="0" xfId="0" applyNumberFormat="1" applyFont="1" applyFill="1" applyAlignment="1">
      <alignment horizontal="left" vertical="top"/>
    </xf>
    <xf numFmtId="177" fontId="20" fillId="0" borderId="0" xfId="0" applyNumberFormat="1" applyFont="1">
      <alignment vertical="top"/>
    </xf>
    <xf numFmtId="169" fontId="20" fillId="0" borderId="0" xfId="0" applyFont="1" applyFill="1">
      <alignment vertical="top"/>
    </xf>
    <xf numFmtId="169" fontId="2" fillId="17" borderId="0" xfId="0" applyFont="1" applyFill="1">
      <alignment vertical="top"/>
    </xf>
    <xf numFmtId="169" fontId="2" fillId="0" borderId="0" xfId="0" applyFont="1" applyFill="1">
      <alignment vertical="top"/>
    </xf>
    <xf numFmtId="169" fontId="13" fillId="0" borderId="2" xfId="0" applyFont="1" applyFill="1" applyBorder="1">
      <alignment vertical="top"/>
    </xf>
    <xf numFmtId="0" fontId="65" fillId="55" borderId="13" xfId="81" applyFont="1" applyFill="1" applyBorder="1" applyAlignment="1">
      <alignment vertical="top"/>
    </xf>
    <xf numFmtId="0" fontId="66" fillId="55" borderId="13" xfId="81" applyFont="1" applyFill="1" applyBorder="1" applyAlignment="1">
      <alignment vertical="top"/>
    </xf>
    <xf numFmtId="0" fontId="1" fillId="0" borderId="13" xfId="81" applyBorder="1"/>
    <xf numFmtId="0" fontId="66" fillId="55" borderId="0" xfId="81" applyFont="1" applyFill="1" applyAlignment="1">
      <alignment vertical="top"/>
    </xf>
    <xf numFmtId="0" fontId="1" fillId="0" borderId="0" xfId="81"/>
    <xf numFmtId="0" fontId="56" fillId="55" borderId="0" xfId="81" applyFont="1" applyFill="1" applyAlignment="1">
      <alignment vertical="top"/>
    </xf>
    <xf numFmtId="181" fontId="56" fillId="55" borderId="0" xfId="81" applyNumberFormat="1" applyFont="1" applyFill="1" applyAlignment="1">
      <alignment horizontal="left" vertical="top"/>
    </xf>
    <xf numFmtId="0" fontId="19" fillId="0" borderId="0" xfId="81" applyFont="1"/>
    <xf numFmtId="169" fontId="29" fillId="0" borderId="0" xfId="73" applyNumberFormat="1" applyFill="1" applyProtection="1">
      <alignment vertical="top"/>
    </xf>
    <xf numFmtId="0" fontId="67" fillId="0" borderId="0" xfId="81" applyFont="1" applyAlignment="1">
      <alignment vertical="top"/>
    </xf>
    <xf numFmtId="0" fontId="13" fillId="56" borderId="14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/>
    </xf>
    <xf numFmtId="0" fontId="13" fillId="56" borderId="1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 wrapText="1"/>
    </xf>
    <xf numFmtId="0" fontId="28" fillId="5" borderId="1" xfId="81" applyFont="1" applyFill="1" applyBorder="1" applyAlignment="1">
      <alignment vertical="top" wrapText="1"/>
    </xf>
    <xf numFmtId="0" fontId="13" fillId="5" borderId="15" xfId="81" applyFont="1" applyFill="1" applyBorder="1" applyAlignment="1">
      <alignment vertical="top" wrapText="1"/>
    </xf>
    <xf numFmtId="0" fontId="28" fillId="0" borderId="0" xfId="81" applyFont="1" applyAlignment="1">
      <alignment vertical="top"/>
    </xf>
    <xf numFmtId="0" fontId="68" fillId="0" borderId="0" xfId="81" applyFont="1" applyAlignment="1">
      <alignment vertical="top"/>
    </xf>
    <xf numFmtId="0" fontId="15" fillId="57" borderId="18" xfId="81" applyFont="1" applyFill="1" applyBorder="1" applyAlignment="1">
      <alignment vertical="top" wrapText="1"/>
    </xf>
    <xf numFmtId="0" fontId="15" fillId="57" borderId="19" xfId="81" applyFont="1" applyFill="1" applyBorder="1" applyAlignment="1">
      <alignment vertical="top" wrapText="1"/>
    </xf>
    <xf numFmtId="0" fontId="15" fillId="57" borderId="20" xfId="81" applyFont="1" applyFill="1" applyBorder="1" applyAlignment="1">
      <alignment vertical="top" wrapText="1"/>
    </xf>
    <xf numFmtId="169" fontId="25" fillId="7" borderId="0" xfId="83" applyFont="1" applyFill="1">
      <alignment vertical="top"/>
    </xf>
    <xf numFmtId="0" fontId="1" fillId="7" borderId="0" xfId="81" applyFill="1"/>
    <xf numFmtId="0" fontId="13" fillId="7" borderId="0" xfId="81" applyFont="1" applyFill="1" applyAlignment="1">
      <alignment vertical="top"/>
    </xf>
    <xf numFmtId="171" fontId="13" fillId="0" borderId="0" xfId="0" applyNumberFormat="1" applyFont="1" applyFill="1" applyBorder="1">
      <alignment vertical="top"/>
    </xf>
    <xf numFmtId="169" fontId="1" fillId="0" borderId="0" xfId="0" applyFont="1">
      <alignment vertical="top"/>
    </xf>
    <xf numFmtId="169" fontId="1" fillId="0" borderId="0" xfId="0" applyFont="1" applyBorder="1">
      <alignment vertical="top"/>
    </xf>
    <xf numFmtId="169" fontId="1" fillId="17" borderId="0" xfId="0" applyFont="1" applyFill="1">
      <alignment vertical="top"/>
    </xf>
    <xf numFmtId="167" fontId="1" fillId="0" borderId="0" xfId="0" applyNumberFormat="1" applyFont="1">
      <alignment vertical="top"/>
    </xf>
    <xf numFmtId="169" fontId="1" fillId="0" borderId="0" xfId="0" applyFont="1" applyFill="1">
      <alignment vertical="top"/>
    </xf>
    <xf numFmtId="177" fontId="19" fillId="0" borderId="0" xfId="0" applyNumberFormat="1" applyFont="1" applyFill="1">
      <alignment vertical="top"/>
    </xf>
    <xf numFmtId="164" fontId="19" fillId="0" borderId="0" xfId="0" applyNumberFormat="1" applyFont="1" applyFill="1">
      <alignment vertical="top"/>
    </xf>
    <xf numFmtId="171" fontId="27" fillId="0" borderId="0" xfId="0" applyNumberFormat="1" applyFont="1" applyFill="1">
      <alignment vertical="top"/>
    </xf>
    <xf numFmtId="170" fontId="27" fillId="0" borderId="0" xfId="0" applyNumberFormat="1" applyFont="1" applyFill="1">
      <alignment vertical="top"/>
    </xf>
    <xf numFmtId="169" fontId="38" fillId="0" borderId="0" xfId="0" applyFont="1" applyFill="1">
      <alignment vertical="top"/>
    </xf>
    <xf numFmtId="169" fontId="13" fillId="0" borderId="0" xfId="1" applyNumberFormat="1" applyFont="1" applyFill="1" applyAlignment="1">
      <alignment vertical="top"/>
    </xf>
    <xf numFmtId="15" fontId="56" fillId="55" borderId="0" xfId="20" applyNumberFormat="1" applyFont="1" applyFill="1" applyAlignment="1">
      <alignment horizontal="left" vertical="top"/>
    </xf>
    <xf numFmtId="180" fontId="1" fillId="0" borderId="0" xfId="0" applyNumberFormat="1" applyFont="1" applyBorder="1">
      <alignment vertical="top"/>
    </xf>
    <xf numFmtId="180" fontId="0" fillId="0" borderId="0" xfId="0" applyNumberFormat="1" applyBorder="1">
      <alignment vertical="top"/>
    </xf>
    <xf numFmtId="0" fontId="28" fillId="5" borderId="16" xfId="81" applyFont="1" applyFill="1" applyBorder="1" applyAlignment="1">
      <alignment vertical="top" wrapText="1"/>
    </xf>
    <xf numFmtId="0" fontId="28" fillId="5" borderId="17" xfId="81" applyFont="1" applyFill="1" applyBorder="1" applyAlignment="1">
      <alignment vertical="top" wrapText="1"/>
    </xf>
    <xf numFmtId="0" fontId="13" fillId="57" borderId="18" xfId="81" applyFont="1" applyFill="1" applyBorder="1" applyAlignment="1">
      <alignment horizontal="left" vertical="top" wrapText="1"/>
    </xf>
    <xf numFmtId="0" fontId="13" fillId="57" borderId="19" xfId="81" applyFont="1" applyFill="1" applyBorder="1" applyAlignment="1">
      <alignment horizontal="left" vertical="top" wrapText="1"/>
    </xf>
    <xf numFmtId="0" fontId="13" fillId="57" borderId="20" xfId="81" applyFont="1" applyFill="1" applyBorder="1" applyAlignment="1">
      <alignment horizontal="left" vertical="top" wrapText="1"/>
    </xf>
  </cellXfs>
  <cellStyles count="84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99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ReconciliationRulebook/Shared%20Documents/General/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/>
  </sheetViews>
  <sheetFormatPr defaultColWidth="0" defaultRowHeight="13.5" customHeight="1" zeroHeight="1"/>
  <cols>
    <col min="1" max="1" width="9.5703125" style="314" customWidth="1"/>
    <col min="2" max="2" width="29.7109375" style="314" customWidth="1"/>
    <col min="3" max="3" width="18.7109375" style="314" customWidth="1"/>
    <col min="4" max="4" width="25" style="314" customWidth="1"/>
    <col min="5" max="5" width="68.140625" style="314" customWidth="1"/>
    <col min="6" max="6" width="11.140625" style="314" bestFit="1" customWidth="1"/>
    <col min="7" max="7" width="9.5703125" style="314" customWidth="1"/>
    <col min="8" max="8" width="4.85546875" style="314" customWidth="1"/>
    <col min="9" max="9" width="26" style="314" customWidth="1"/>
    <col min="10" max="13" width="0" style="314" hidden="1" customWidth="1"/>
    <col min="14" max="16384" width="9.5703125" style="314" hidden="1"/>
  </cols>
  <sheetData>
    <row r="1" spans="1:9" s="312" customFormat="1" ht="27.95" thickBot="1">
      <c r="A1" s="310" t="e">
        <f ca="1" xml:space="preserve"> RIGHT(CELL("filename", $A$1), LEN(CELL("filename", $A$1)) - SEARCH("]", CELL("filename", $A$1)))</f>
        <v>#VALUE!</v>
      </c>
      <c r="B1" s="310"/>
      <c r="C1" s="311"/>
      <c r="D1" s="310"/>
      <c r="E1" s="310"/>
      <c r="F1" s="310"/>
      <c r="G1" s="310"/>
      <c r="H1" s="311"/>
      <c r="I1" s="311"/>
    </row>
    <row r="2" spans="1:9" ht="16.5" thickTop="1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5.95">
      <c r="A3" s="313"/>
      <c r="B3" s="315" t="s">
        <v>0</v>
      </c>
      <c r="C3" s="315" t="s">
        <v>1</v>
      </c>
      <c r="D3" s="313"/>
      <c r="E3" s="313"/>
      <c r="F3" s="313"/>
      <c r="G3" s="313"/>
      <c r="H3" s="313"/>
      <c r="I3" s="313"/>
    </row>
    <row r="4" spans="1:9" ht="15.95">
      <c r="A4" s="313"/>
      <c r="B4" s="315" t="s">
        <v>2</v>
      </c>
      <c r="C4" s="316">
        <v>2</v>
      </c>
      <c r="D4" s="313"/>
      <c r="E4" s="313"/>
      <c r="F4" s="313"/>
      <c r="G4" s="313"/>
      <c r="H4" s="313"/>
      <c r="I4" s="313"/>
    </row>
    <row r="5" spans="1:9" ht="15.95">
      <c r="A5" s="313"/>
      <c r="B5" s="315" t="s">
        <v>3</v>
      </c>
      <c r="C5" s="315" t="s">
        <v>4</v>
      </c>
      <c r="D5" s="313"/>
      <c r="E5" s="313"/>
      <c r="F5" s="313"/>
      <c r="G5" s="313"/>
      <c r="H5" s="313"/>
      <c r="I5" s="313"/>
    </row>
    <row r="6" spans="1:9" ht="15.95">
      <c r="A6" s="313"/>
      <c r="B6" s="315" t="s">
        <v>5</v>
      </c>
      <c r="C6" s="346">
        <v>44167</v>
      </c>
      <c r="D6" s="313"/>
      <c r="E6" s="313"/>
      <c r="F6" s="313"/>
      <c r="G6" s="313"/>
      <c r="H6" s="313"/>
      <c r="I6" s="313"/>
    </row>
    <row r="7" spans="1:9" ht="15.95">
      <c r="A7" s="313"/>
      <c r="B7" s="315" t="s">
        <v>6</v>
      </c>
      <c r="C7" s="315" t="s">
        <v>7</v>
      </c>
      <c r="D7" s="313"/>
      <c r="E7" s="313"/>
      <c r="F7" s="313"/>
      <c r="G7" s="313"/>
      <c r="H7" s="313"/>
      <c r="I7" s="313"/>
    </row>
    <row r="8" spans="1:9" ht="15.95">
      <c r="A8" s="313"/>
      <c r="B8" s="315" t="s">
        <v>8</v>
      </c>
      <c r="C8" s="315" t="s">
        <v>9</v>
      </c>
      <c r="D8" s="313"/>
      <c r="E8" s="313"/>
      <c r="F8" s="313"/>
      <c r="G8" s="313"/>
      <c r="H8" s="313"/>
      <c r="I8" s="313"/>
    </row>
    <row r="9" spans="1:9" ht="15.95">
      <c r="A9" s="313"/>
      <c r="B9" s="313"/>
      <c r="C9" s="313"/>
      <c r="D9" s="313"/>
      <c r="E9" s="313"/>
      <c r="F9" s="313"/>
      <c r="G9" s="313"/>
      <c r="H9" s="313"/>
      <c r="I9" s="313"/>
    </row>
    <row r="10" spans="1:9" ht="14.45">
      <c r="A10" s="317"/>
      <c r="B10" s="317"/>
      <c r="C10" s="318"/>
      <c r="D10" s="317"/>
      <c r="E10" s="317"/>
      <c r="F10" s="317"/>
      <c r="G10" s="317"/>
      <c r="H10" s="317"/>
      <c r="I10" s="317"/>
    </row>
    <row r="11" spans="1:9" ht="14.1">
      <c r="A11" s="317"/>
      <c r="B11" s="317" t="s">
        <v>10</v>
      </c>
      <c r="C11" s="317" t="s">
        <v>11</v>
      </c>
      <c r="D11" s="317"/>
      <c r="E11" s="317"/>
      <c r="F11" s="317"/>
      <c r="G11" s="317"/>
      <c r="H11" s="317"/>
      <c r="I11" s="317"/>
    </row>
    <row r="12" spans="1:9" ht="14.1">
      <c r="A12" s="317"/>
      <c r="B12" s="317"/>
      <c r="C12" s="317"/>
      <c r="D12" s="317"/>
      <c r="E12" s="317"/>
      <c r="F12" s="317"/>
      <c r="G12" s="317"/>
      <c r="H12" s="317"/>
      <c r="I12" s="317"/>
    </row>
    <row r="13" spans="1:9" ht="14.1">
      <c r="A13" s="317"/>
      <c r="B13" s="317"/>
      <c r="C13" s="317"/>
      <c r="D13" s="317"/>
      <c r="E13" s="317"/>
      <c r="F13" s="317"/>
      <c r="G13" s="317"/>
      <c r="H13" s="317"/>
      <c r="I13" s="317"/>
    </row>
    <row r="14" spans="1:9" ht="14.1">
      <c r="A14" s="317"/>
      <c r="B14" s="317"/>
      <c r="C14" s="317"/>
      <c r="D14" s="317"/>
      <c r="E14" s="317"/>
      <c r="F14" s="317"/>
      <c r="G14" s="317"/>
      <c r="H14" s="317"/>
      <c r="I14" s="317"/>
    </row>
    <row r="15" spans="1:9" ht="14.1">
      <c r="A15" s="317"/>
      <c r="B15" s="317"/>
      <c r="C15" s="317"/>
      <c r="D15" s="317"/>
      <c r="E15" s="317"/>
      <c r="F15" s="317"/>
      <c r="G15" s="317"/>
      <c r="H15" s="317"/>
      <c r="I15" s="317"/>
    </row>
    <row r="16" spans="1:9" ht="14.1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14.1">
      <c r="A17" s="317"/>
      <c r="B17" s="317" t="s">
        <v>12</v>
      </c>
      <c r="C17" s="317" t="s">
        <v>13</v>
      </c>
      <c r="D17" s="317"/>
      <c r="E17" s="317"/>
      <c r="F17" s="317"/>
      <c r="G17" s="317"/>
      <c r="H17" s="317"/>
      <c r="I17" s="317"/>
    </row>
    <row r="18" spans="1:9" ht="14.1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15.95">
      <c r="A19" s="317"/>
      <c r="B19" s="317" t="s">
        <v>14</v>
      </c>
      <c r="C19" s="317" t="s">
        <v>13</v>
      </c>
      <c r="D19" s="319"/>
      <c r="E19" s="319"/>
      <c r="F19" s="319"/>
      <c r="G19" s="317"/>
      <c r="H19" s="317"/>
      <c r="I19" s="317"/>
    </row>
    <row r="20" spans="1:9" ht="15.95">
      <c r="A20" s="317"/>
      <c r="B20" s="317"/>
      <c r="C20" s="319"/>
      <c r="D20" s="319"/>
      <c r="E20" s="319"/>
      <c r="F20" s="319"/>
      <c r="G20" s="317"/>
      <c r="H20" s="317"/>
      <c r="I20" s="317"/>
    </row>
    <row r="21" spans="1:9" ht="14.1">
      <c r="A21" s="317"/>
      <c r="B21" s="317"/>
      <c r="C21" s="320" t="s">
        <v>15</v>
      </c>
      <c r="D21" s="321"/>
      <c r="E21" s="322" t="s">
        <v>16</v>
      </c>
      <c r="F21" s="323" t="s">
        <v>17</v>
      </c>
      <c r="G21" s="317"/>
      <c r="H21" s="317"/>
      <c r="I21" s="317"/>
    </row>
    <row r="22" spans="1:9" ht="14.1">
      <c r="A22" s="317"/>
      <c r="B22" s="317"/>
      <c r="C22" s="349"/>
      <c r="D22" s="350"/>
      <c r="E22" s="324"/>
      <c r="F22" s="325"/>
      <c r="G22" s="317"/>
      <c r="H22" s="317"/>
      <c r="I22" s="317"/>
    </row>
    <row r="23" spans="1:9" ht="14.1">
      <c r="A23" s="317"/>
      <c r="B23" s="317"/>
      <c r="C23" s="317"/>
      <c r="D23" s="317"/>
      <c r="E23" s="317"/>
      <c r="F23" s="317"/>
      <c r="G23" s="317"/>
      <c r="H23" s="317"/>
      <c r="I23" s="317"/>
    </row>
    <row r="24" spans="1:9" ht="14.1">
      <c r="A24" s="317"/>
      <c r="B24" s="317"/>
      <c r="C24" s="317"/>
      <c r="D24" s="317"/>
      <c r="E24" s="317"/>
      <c r="F24" s="317"/>
      <c r="G24" s="317"/>
      <c r="H24" s="317"/>
      <c r="I24" s="317"/>
    </row>
    <row r="25" spans="1:9" ht="15.95">
      <c r="B25" s="317" t="s">
        <v>18</v>
      </c>
      <c r="C25" s="326" t="s">
        <v>19</v>
      </c>
      <c r="D25" s="319"/>
      <c r="E25" s="319"/>
      <c r="F25" s="319"/>
    </row>
    <row r="26" spans="1:9" ht="15.95">
      <c r="B26" s="327"/>
      <c r="C26" s="319"/>
      <c r="D26" s="319"/>
      <c r="E26" s="319"/>
      <c r="F26" s="319"/>
    </row>
    <row r="27" spans="1:9" ht="15.95">
      <c r="B27" s="327"/>
      <c r="C27" s="320" t="s">
        <v>20</v>
      </c>
      <c r="D27" s="322" t="s">
        <v>21</v>
      </c>
      <c r="E27" s="322" t="s">
        <v>22</v>
      </c>
      <c r="F27" s="323" t="s">
        <v>23</v>
      </c>
    </row>
    <row r="28" spans="1:9" ht="15.95">
      <c r="B28" s="327"/>
      <c r="C28" s="351" t="s">
        <v>24</v>
      </c>
      <c r="D28" s="351"/>
      <c r="E28" s="351" t="s">
        <v>25</v>
      </c>
      <c r="F28" s="328"/>
    </row>
    <row r="29" spans="1:9" ht="15.95">
      <c r="B29" s="327"/>
      <c r="C29" s="352"/>
      <c r="D29" s="352"/>
      <c r="E29" s="352"/>
      <c r="F29" s="329"/>
    </row>
    <row r="30" spans="1:9" ht="15.95">
      <c r="B30" s="327"/>
      <c r="C30" s="352"/>
      <c r="D30" s="352"/>
      <c r="E30" s="352"/>
      <c r="F30" s="329"/>
    </row>
    <row r="31" spans="1:9" ht="15.95">
      <c r="B31" s="327"/>
      <c r="C31" s="353"/>
      <c r="D31" s="353"/>
      <c r="E31" s="353"/>
      <c r="F31" s="330"/>
    </row>
    <row r="32" spans="1:9" ht="14.1"/>
    <row r="33" spans="1:9" ht="14.1"/>
    <row r="34" spans="1:9" ht="14.1"/>
    <row r="35" spans="1:9" ht="14.1">
      <c r="A35" s="331" t="s">
        <v>26</v>
      </c>
      <c r="B35" s="331"/>
      <c r="C35" s="331"/>
      <c r="D35" s="332"/>
      <c r="E35" s="333"/>
      <c r="F35" s="333"/>
      <c r="G35" s="333"/>
      <c r="H35" s="333"/>
      <c r="I35" s="333"/>
    </row>
    <row r="36" spans="1:9" ht="14.1"/>
    <row r="37" spans="1:9" ht="14.1"/>
    <row r="38" spans="1:9" ht="14.1"/>
    <row r="39" spans="1:9" ht="14.1" hidden="1"/>
    <row r="40" spans="1:9" ht="14.1" hidden="1"/>
    <row r="41" spans="1:9" ht="14.1" hidden="1"/>
    <row r="42" spans="1:9" ht="14.1" hidden="1"/>
    <row r="43" spans="1:9" ht="14.1" hidden="1"/>
    <row r="44" spans="1:9" ht="14.1" hidden="1"/>
    <row r="45" spans="1:9" ht="14.1" hidden="1"/>
    <row r="46" spans="1:9" ht="14.1" hidden="1"/>
    <row r="47" spans="1:9" ht="14.1" hidden="1"/>
    <row r="48" spans="1:9" ht="14.1" hidden="1"/>
    <row r="49" ht="14.1" hidden="1"/>
    <row r="50" ht="14.1" hidden="1"/>
    <row r="51" ht="14.1" hidden="1"/>
    <row r="52" ht="14.1" hidden="1"/>
    <row r="53" ht="14.1" hidden="1"/>
    <row r="54" ht="14.1" hidden="1"/>
    <row r="55" ht="14.1" hidden="1"/>
    <row r="56" ht="14.1" hidden="1"/>
    <row r="57" ht="14.1" hidden="1"/>
    <row r="58" ht="14.1" hidden="1"/>
    <row r="59" ht="14.1" hidden="1"/>
    <row r="60" ht="14.1" hidden="1"/>
    <row r="61" ht="14.1" hidden="1"/>
    <row r="62" ht="14.1" hidden="1"/>
    <row r="63" ht="14.1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zoomScale="90" zoomScaleNormal="90" workbookViewId="0"/>
  </sheetViews>
  <sheetFormatPr defaultColWidth="0" defaultRowHeight="14.45" zeroHeight="1"/>
  <cols>
    <col min="1" max="4" width="1.140625" customWidth="1"/>
    <col min="5" max="5" width="38.140625" bestFit="1" customWidth="1"/>
    <col min="6" max="6" width="3" customWidth="1"/>
    <col min="7" max="7" width="45.5703125" bestFit="1" customWidth="1"/>
    <col min="8" max="8" width="11.140625" customWidth="1"/>
    <col min="9" max="9" width="1.42578125" customWidth="1"/>
    <col min="10" max="16384" width="8.85546875" hidden="1"/>
  </cols>
  <sheetData>
    <row r="1" spans="1:9" ht="24.95">
      <c r="A1" s="70" t="e">
        <f ca="1" xml:space="preserve"> RIGHT(CELL("filename", $A$1), LEN(CELL("filename", $A$1)) - SEARCH("]", CELL("filename", $A$1)))</f>
        <v>#VALUE!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/>
    <row r="4" spans="1:9">
      <c r="A4" s="80" t="s">
        <v>27</v>
      </c>
      <c r="B4" s="80"/>
      <c r="C4" s="81"/>
      <c r="D4" s="82"/>
      <c r="E4" s="80"/>
      <c r="F4" s="80"/>
      <c r="G4" s="80"/>
      <c r="H4" s="80"/>
      <c r="I4" s="80"/>
    </row>
    <row r="5" spans="1:9">
      <c r="A5" s="83"/>
      <c r="B5" s="83"/>
      <c r="C5" s="84"/>
      <c r="D5" s="85"/>
      <c r="E5" s="25"/>
      <c r="F5" s="25"/>
      <c r="G5" s="25"/>
      <c r="H5" s="25"/>
      <c r="I5" s="25"/>
    </row>
    <row r="6" spans="1:9">
      <c r="A6" s="83"/>
      <c r="B6" s="83"/>
      <c r="C6" s="84"/>
      <c r="D6" s="85"/>
      <c r="E6" s="86" t="s">
        <v>28</v>
      </c>
      <c r="F6" s="27"/>
      <c r="G6" s="27" t="s">
        <v>29</v>
      </c>
      <c r="H6" s="25"/>
      <c r="I6" s="25"/>
    </row>
    <row r="7" spans="1:9">
      <c r="A7" s="83"/>
      <c r="B7" s="83"/>
      <c r="C7" s="84"/>
      <c r="D7" s="85"/>
      <c r="E7" s="87"/>
      <c r="F7" s="27"/>
      <c r="G7" s="27"/>
      <c r="H7" s="25"/>
      <c r="I7" s="25"/>
    </row>
    <row r="8" spans="1:9">
      <c r="A8" s="83"/>
      <c r="B8" s="83"/>
      <c r="C8" s="84"/>
      <c r="D8" s="85"/>
      <c r="E8" s="88" t="s">
        <v>30</v>
      </c>
      <c r="F8" s="27"/>
      <c r="G8" s="27" t="s">
        <v>31</v>
      </c>
      <c r="H8" s="25"/>
      <c r="I8" s="25"/>
    </row>
    <row r="9" spans="1:9">
      <c r="A9" s="83"/>
      <c r="B9" s="83"/>
      <c r="C9" s="84"/>
      <c r="D9" s="85"/>
      <c r="E9" s="87"/>
      <c r="F9" s="27"/>
      <c r="G9" s="27"/>
      <c r="H9" s="25"/>
      <c r="I9" s="25"/>
    </row>
    <row r="10" spans="1:9">
      <c r="A10" s="83"/>
      <c r="B10" s="83"/>
      <c r="C10" s="84"/>
      <c r="D10" s="85"/>
      <c r="E10" s="133" t="s">
        <v>32</v>
      </c>
      <c r="F10" s="27"/>
      <c r="G10" s="27" t="s">
        <v>33</v>
      </c>
      <c r="H10" s="25"/>
      <c r="I10" s="25"/>
    </row>
    <row r="11" spans="1:9">
      <c r="A11" s="83"/>
      <c r="B11" s="83"/>
      <c r="C11" s="84"/>
      <c r="D11" s="85"/>
      <c r="E11" s="87"/>
      <c r="F11" s="27"/>
      <c r="G11" s="27"/>
      <c r="H11" s="25"/>
      <c r="I11" s="25"/>
    </row>
    <row r="12" spans="1:9">
      <c r="A12" s="83"/>
      <c r="B12" s="83"/>
      <c r="C12" s="84"/>
      <c r="D12" s="85"/>
      <c r="E12" s="89" t="s">
        <v>34</v>
      </c>
      <c r="F12" s="27"/>
      <c r="G12" s="27" t="s">
        <v>35</v>
      </c>
      <c r="H12" s="25"/>
      <c r="I12" s="25"/>
    </row>
    <row r="13" spans="1:9">
      <c r="A13" s="83"/>
      <c r="B13" s="83"/>
      <c r="C13" s="84"/>
      <c r="D13" s="85"/>
      <c r="E13" s="87"/>
      <c r="F13" s="27"/>
      <c r="G13" s="27"/>
      <c r="H13" s="25"/>
      <c r="I13" s="25"/>
    </row>
    <row r="14" spans="1:9">
      <c r="A14" s="83"/>
      <c r="B14" s="83"/>
      <c r="C14" s="84"/>
      <c r="D14" s="85"/>
      <c r="E14" s="90" t="s">
        <v>36</v>
      </c>
      <c r="F14" s="27"/>
      <c r="G14" s="27" t="s">
        <v>37</v>
      </c>
      <c r="H14" s="27"/>
      <c r="I14" s="27"/>
    </row>
    <row r="15" spans="1:9">
      <c r="A15" s="83"/>
      <c r="B15" s="83"/>
      <c r="C15" s="84"/>
      <c r="D15" s="85"/>
      <c r="E15" s="27"/>
      <c r="F15" s="27"/>
      <c r="G15" s="27"/>
      <c r="H15" s="27"/>
      <c r="I15" s="27"/>
    </row>
    <row r="16" spans="1:9">
      <c r="A16" s="83"/>
      <c r="B16" s="83"/>
      <c r="C16" s="84"/>
      <c r="D16" s="85"/>
      <c r="E16" s="27"/>
      <c r="F16" s="27"/>
      <c r="G16" s="27"/>
      <c r="H16" s="27"/>
      <c r="I16" s="27"/>
    </row>
    <row r="17" spans="1:9">
      <c r="A17" s="80" t="s">
        <v>38</v>
      </c>
      <c r="B17" s="80"/>
      <c r="C17" s="81"/>
      <c r="D17" s="82"/>
      <c r="E17" s="80"/>
      <c r="F17" s="80"/>
      <c r="G17" s="80"/>
      <c r="H17" s="80"/>
      <c r="I17" s="80"/>
    </row>
    <row r="18" spans="1:9">
      <c r="A18" s="91"/>
      <c r="B18" s="91"/>
      <c r="C18" s="92"/>
      <c r="D18" s="93"/>
      <c r="E18" s="25"/>
      <c r="F18" s="25"/>
      <c r="G18" s="25"/>
      <c r="H18" s="25"/>
      <c r="I18" s="25"/>
    </row>
    <row r="19" spans="1:9">
      <c r="A19" s="91"/>
      <c r="B19" s="91" t="s">
        <v>39</v>
      </c>
      <c r="C19" s="92"/>
      <c r="D19" s="93"/>
      <c r="E19" s="25"/>
      <c r="F19" s="25"/>
      <c r="G19" s="25"/>
      <c r="H19" s="25"/>
      <c r="I19" s="25"/>
    </row>
    <row r="20" spans="1:9">
      <c r="A20" s="91"/>
      <c r="B20" s="91"/>
      <c r="C20" s="92"/>
      <c r="D20" s="93"/>
      <c r="E20" s="94" t="s">
        <v>40</v>
      </c>
      <c r="F20" s="27"/>
      <c r="G20" s="26" t="s">
        <v>41</v>
      </c>
      <c r="H20" s="25"/>
      <c r="I20" s="25"/>
    </row>
    <row r="21" spans="1:9">
      <c r="A21" s="91"/>
      <c r="B21" s="91"/>
      <c r="C21" s="92"/>
      <c r="D21" s="93"/>
      <c r="E21" s="26"/>
      <c r="F21" s="27"/>
      <c r="G21" s="27"/>
      <c r="H21" s="25"/>
      <c r="I21" s="25"/>
    </row>
    <row r="22" spans="1:9">
      <c r="A22" s="91"/>
      <c r="B22" s="91"/>
      <c r="C22" s="92"/>
      <c r="D22" s="93"/>
      <c r="E22" s="95" t="s">
        <v>42</v>
      </c>
      <c r="F22" s="27"/>
      <c r="G22" s="26" t="s">
        <v>43</v>
      </c>
      <c r="H22" s="25"/>
      <c r="I22" s="25"/>
    </row>
    <row r="23" spans="1:9">
      <c r="A23" s="91"/>
      <c r="B23" s="91"/>
      <c r="C23" s="92"/>
      <c r="D23" s="93"/>
      <c r="E23" s="26"/>
      <c r="F23" s="27"/>
      <c r="G23" s="26"/>
      <c r="H23" s="25"/>
      <c r="I23" s="25"/>
    </row>
    <row r="24" spans="1:9">
      <c r="A24" s="91"/>
      <c r="B24" s="91"/>
      <c r="C24" s="92"/>
      <c r="D24" s="93"/>
      <c r="E24" s="26" t="s">
        <v>44</v>
      </c>
      <c r="F24" s="27"/>
      <c r="G24" s="25" t="s">
        <v>45</v>
      </c>
      <c r="H24" s="25"/>
      <c r="I24" s="25"/>
    </row>
    <row r="25" spans="1:9">
      <c r="A25" s="91"/>
      <c r="B25" s="91"/>
      <c r="C25" s="92"/>
      <c r="D25" s="93"/>
      <c r="E25" s="26"/>
      <c r="F25" s="27"/>
      <c r="G25" s="25"/>
      <c r="H25" s="25"/>
      <c r="I25" s="25"/>
    </row>
    <row r="26" spans="1:9">
      <c r="A26" s="91"/>
      <c r="B26" s="91"/>
      <c r="C26" s="92"/>
      <c r="D26" s="93"/>
      <c r="E26" s="123" t="s">
        <v>46</v>
      </c>
      <c r="F26" s="27"/>
      <c r="G26" s="25" t="s">
        <v>47</v>
      </c>
      <c r="H26" s="25"/>
      <c r="I26" s="25"/>
    </row>
    <row r="27" spans="1:9">
      <c r="A27" s="91"/>
      <c r="B27" s="91"/>
      <c r="C27" s="92"/>
      <c r="D27" s="93"/>
      <c r="E27" s="26"/>
      <c r="F27" s="27"/>
      <c r="G27" s="25"/>
      <c r="H27" s="25"/>
      <c r="I27" s="25"/>
    </row>
    <row r="28" spans="1:9">
      <c r="A28" s="91"/>
      <c r="B28" s="91" t="s">
        <v>48</v>
      </c>
      <c r="C28" s="92"/>
      <c r="D28" s="93"/>
      <c r="E28" s="26"/>
      <c r="F28" s="27"/>
      <c r="G28" s="26"/>
      <c r="H28" s="25"/>
      <c r="I28" s="25"/>
    </row>
    <row r="29" spans="1:9">
      <c r="A29" s="91"/>
      <c r="B29" s="91"/>
      <c r="C29" s="92"/>
      <c r="D29" s="93"/>
      <c r="E29" s="96" t="s">
        <v>49</v>
      </c>
      <c r="F29" s="27"/>
      <c r="G29" s="26" t="s">
        <v>50</v>
      </c>
      <c r="H29" s="25"/>
      <c r="I29" s="25"/>
    </row>
    <row r="30" spans="1:9">
      <c r="A30" s="91"/>
      <c r="B30" s="91"/>
      <c r="C30" s="92"/>
      <c r="D30" s="93"/>
      <c r="E30" s="26"/>
      <c r="F30" s="27"/>
      <c r="G30" s="26"/>
      <c r="H30" s="25"/>
      <c r="I30" s="25"/>
    </row>
    <row r="31" spans="1:9">
      <c r="A31" s="91"/>
      <c r="B31" s="91"/>
      <c r="C31" s="92"/>
      <c r="D31" s="93"/>
      <c r="E31" s="97" t="s">
        <v>51</v>
      </c>
      <c r="F31" s="27"/>
      <c r="G31" s="26" t="s">
        <v>52</v>
      </c>
      <c r="H31" s="25"/>
      <c r="I31" s="25"/>
    </row>
    <row r="32" spans="1:9">
      <c r="A32" s="91"/>
      <c r="B32" s="91"/>
      <c r="C32" s="92"/>
      <c r="D32" s="93"/>
      <c r="E32" s="26"/>
      <c r="F32" s="27"/>
      <c r="G32" s="25"/>
      <c r="H32" s="25"/>
      <c r="I32" s="25"/>
    </row>
    <row r="33" spans="1:9">
      <c r="A33" s="91"/>
      <c r="B33" s="91"/>
      <c r="C33" s="92"/>
      <c r="D33" s="93"/>
      <c r="E33" s="98" t="s">
        <v>53</v>
      </c>
      <c r="F33" s="27"/>
      <c r="G33" s="26" t="s">
        <v>54</v>
      </c>
      <c r="H33" s="25"/>
      <c r="I33" s="25"/>
    </row>
    <row r="34" spans="1:9">
      <c r="A34" s="91"/>
      <c r="B34" s="91"/>
      <c r="C34" s="92"/>
      <c r="D34" s="93"/>
      <c r="E34" s="26"/>
      <c r="F34" s="27"/>
      <c r="G34" s="26"/>
      <c r="H34" s="25"/>
      <c r="I34" s="25"/>
    </row>
    <row r="35" spans="1:9">
      <c r="A35" s="91"/>
      <c r="B35" s="91"/>
      <c r="C35" s="92"/>
      <c r="D35" s="93"/>
      <c r="E35" s="97" t="s">
        <v>55</v>
      </c>
      <c r="F35" s="27"/>
      <c r="G35" s="26" t="s">
        <v>56</v>
      </c>
      <c r="H35" s="25"/>
      <c r="I35" s="25"/>
    </row>
    <row r="36" spans="1:9">
      <c r="A36" s="91"/>
      <c r="B36" s="91"/>
      <c r="C36" s="92"/>
      <c r="D36" s="93"/>
      <c r="E36" s="27"/>
      <c r="F36" s="27"/>
      <c r="G36" s="26"/>
      <c r="H36" s="25"/>
      <c r="I36" s="25"/>
    </row>
    <row r="37" spans="1:9">
      <c r="A37" s="91"/>
      <c r="B37" s="91" t="s">
        <v>57</v>
      </c>
      <c r="C37" s="92"/>
      <c r="D37" s="93"/>
      <c r="E37" s="26"/>
      <c r="F37" s="27"/>
      <c r="G37" s="26"/>
      <c r="H37" s="25"/>
      <c r="I37" s="25"/>
    </row>
    <row r="38" spans="1:9">
      <c r="A38" s="91"/>
      <c r="B38" s="91"/>
      <c r="C38" s="92"/>
      <c r="D38" s="93"/>
      <c r="E38" s="99" t="s">
        <v>58</v>
      </c>
      <c r="F38" s="27"/>
      <c r="G38" s="26" t="s">
        <v>59</v>
      </c>
      <c r="H38" s="25"/>
      <c r="I38" s="25"/>
    </row>
    <row r="39" spans="1:9">
      <c r="A39" s="91"/>
      <c r="B39" s="91"/>
      <c r="C39" s="92"/>
      <c r="D39" s="93"/>
      <c r="E39" s="25"/>
      <c r="F39" s="27"/>
      <c r="G39" s="26"/>
      <c r="H39" s="25"/>
      <c r="I39" s="25"/>
    </row>
    <row r="40" spans="1:9">
      <c r="A40" s="91"/>
      <c r="B40" s="91"/>
      <c r="C40" s="92"/>
      <c r="D40" s="93"/>
      <c r="E40" s="100" t="s">
        <v>60</v>
      </c>
      <c r="F40" s="26"/>
      <c r="G40" s="27" t="s">
        <v>61</v>
      </c>
      <c r="H40" s="25"/>
      <c r="I40" s="25"/>
    </row>
    <row r="41" spans="1:9">
      <c r="A41" s="91"/>
      <c r="B41" s="91"/>
      <c r="C41" s="92"/>
      <c r="D41" s="93"/>
      <c r="E41" s="26"/>
      <c r="F41" s="27"/>
      <c r="G41" s="26"/>
      <c r="H41" s="25"/>
      <c r="I41" s="25"/>
    </row>
    <row r="42" spans="1:9">
      <c r="A42" s="91"/>
      <c r="B42" s="91"/>
      <c r="C42" s="92"/>
      <c r="D42" s="93"/>
      <c r="E42" s="101" t="s">
        <v>62</v>
      </c>
      <c r="F42" s="27"/>
      <c r="G42" s="26" t="s">
        <v>63</v>
      </c>
      <c r="H42" s="25"/>
      <c r="I42" s="25"/>
    </row>
    <row r="43" spans="1:9">
      <c r="A43" s="91"/>
      <c r="B43" s="91"/>
      <c r="C43" s="92"/>
      <c r="D43" s="93"/>
      <c r="E43" s="25"/>
      <c r="F43" s="27"/>
      <c r="G43" s="26"/>
      <c r="H43" s="25"/>
      <c r="I43" s="25"/>
    </row>
    <row r="44" spans="1:9">
      <c r="A44" s="91"/>
      <c r="B44" s="91"/>
      <c r="C44" s="92"/>
      <c r="D44" s="93"/>
      <c r="E44" s="102" t="s">
        <v>64</v>
      </c>
      <c r="F44" s="27"/>
      <c r="G44" s="26" t="s">
        <v>65</v>
      </c>
      <c r="H44" s="25"/>
      <c r="I44" s="25"/>
    </row>
    <row r="45" spans="1:9">
      <c r="A45" s="83"/>
      <c r="B45" s="103"/>
      <c r="C45" s="104"/>
      <c r="D45" s="85"/>
      <c r="E45" s="25"/>
      <c r="F45" s="27"/>
      <c r="G45" s="27"/>
      <c r="H45" s="27"/>
      <c r="I45" s="27"/>
    </row>
    <row r="46" spans="1:9">
      <c r="A46" s="83"/>
      <c r="B46" s="103"/>
      <c r="C46" s="104"/>
      <c r="D46" s="85"/>
      <c r="E46" s="105" t="s">
        <v>66</v>
      </c>
      <c r="F46" s="27"/>
      <c r="G46" s="26" t="s">
        <v>67</v>
      </c>
      <c r="H46" s="27"/>
      <c r="I46" s="27"/>
    </row>
    <row r="47" spans="1:9">
      <c r="A47" s="83"/>
      <c r="B47" s="103"/>
      <c r="C47" s="104"/>
      <c r="D47" s="85"/>
      <c r="E47" s="25"/>
      <c r="F47" s="27"/>
      <c r="G47" s="27"/>
      <c r="H47" s="27"/>
      <c r="I47" s="27"/>
    </row>
    <row r="48" spans="1:9">
      <c r="A48" s="91"/>
      <c r="B48" s="91" t="s">
        <v>68</v>
      </c>
      <c r="C48" s="92"/>
      <c r="D48" s="93"/>
      <c r="E48" s="26"/>
      <c r="F48" s="27"/>
      <c r="G48" s="26"/>
      <c r="H48" s="25"/>
      <c r="I48" s="25"/>
    </row>
    <row r="49" spans="1:9">
      <c r="A49" s="91"/>
      <c r="B49" s="91"/>
      <c r="C49" s="92"/>
      <c r="D49" s="93"/>
      <c r="E49" s="132" t="s">
        <v>69</v>
      </c>
      <c r="F49" s="27"/>
      <c r="G49" s="26" t="s">
        <v>70</v>
      </c>
      <c r="H49" s="25"/>
      <c r="I49" s="25"/>
    </row>
    <row r="50" spans="1:9">
      <c r="A50" s="91"/>
      <c r="B50" s="91"/>
      <c r="C50" s="92"/>
      <c r="D50" s="93"/>
      <c r="E50" s="25"/>
      <c r="F50" s="27"/>
      <c r="G50" s="26"/>
      <c r="H50" s="25"/>
      <c r="I50" s="25"/>
    </row>
    <row r="51" spans="1:9">
      <c r="A51" s="91"/>
      <c r="B51" s="91"/>
      <c r="C51" s="92"/>
      <c r="D51" s="93"/>
      <c r="E51" s="106" t="s">
        <v>71</v>
      </c>
      <c r="F51" s="27"/>
      <c r="G51" s="26" t="s">
        <v>72</v>
      </c>
      <c r="H51" s="25"/>
      <c r="I51" s="25"/>
    </row>
    <row r="52" spans="1:9">
      <c r="A52" s="91"/>
      <c r="B52" s="91"/>
      <c r="C52" s="92"/>
      <c r="D52" s="93"/>
      <c r="E52" s="26"/>
      <c r="F52" s="27"/>
      <c r="G52" s="26"/>
      <c r="H52" s="25"/>
      <c r="I52" s="25"/>
    </row>
    <row r="53" spans="1:9">
      <c r="A53" s="91"/>
      <c r="B53" s="91"/>
      <c r="C53" s="92"/>
      <c r="D53" s="93"/>
      <c r="E53" s="107" t="s">
        <v>73</v>
      </c>
      <c r="F53" s="27"/>
      <c r="G53" s="26" t="s">
        <v>74</v>
      </c>
      <c r="H53" s="25"/>
      <c r="I53" s="25"/>
    </row>
    <row r="54" spans="1:9">
      <c r="A54" s="91"/>
      <c r="B54" s="91"/>
      <c r="C54" s="92"/>
      <c r="D54" s="93"/>
      <c r="E54" s="26"/>
      <c r="F54" s="27"/>
      <c r="G54" s="26"/>
      <c r="H54" s="25"/>
      <c r="I54" s="25"/>
    </row>
    <row r="55" spans="1:9">
      <c r="A55" s="91"/>
      <c r="B55" s="91"/>
      <c r="C55" s="92"/>
      <c r="D55" s="93"/>
      <c r="E55" s="25"/>
      <c r="F55" s="25"/>
      <c r="G55" s="25"/>
      <c r="H55" s="25"/>
      <c r="I55" s="25"/>
    </row>
    <row r="56" spans="1:9" s="108" customFormat="1">
      <c r="A56" s="80" t="s">
        <v>75</v>
      </c>
      <c r="B56" s="80"/>
      <c r="C56" s="81"/>
      <c r="D56" s="82"/>
      <c r="E56" s="80"/>
      <c r="F56" s="80"/>
      <c r="G56" s="80"/>
      <c r="H56" s="80"/>
      <c r="I56" s="80"/>
    </row>
    <row r="57" spans="1:9"/>
    <row r="58" spans="1:9">
      <c r="E58" t="s">
        <v>76</v>
      </c>
      <c r="G58" s="27" t="s">
        <v>77</v>
      </c>
    </row>
    <row r="59" spans="1:9">
      <c r="E59" t="s">
        <v>78</v>
      </c>
      <c r="G59" s="27" t="s">
        <v>79</v>
      </c>
    </row>
    <row r="60" spans="1:9">
      <c r="E60" t="s">
        <v>80</v>
      </c>
      <c r="G60" s="27" t="s">
        <v>81</v>
      </c>
    </row>
    <row r="61" spans="1:9"/>
    <row r="62" spans="1:9" s="110" customFormat="1">
      <c r="A62" s="109" t="s">
        <v>82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120" zoomScaleNormal="120" workbookViewId="0"/>
  </sheetViews>
  <sheetFormatPr defaultColWidth="0" defaultRowHeight="14.45" zeroHeight="1"/>
  <cols>
    <col min="1" max="1" width="8.85546875" customWidth="1"/>
    <col min="2" max="2" width="30.140625" customWidth="1"/>
    <col min="3" max="3" width="8.85546875" customWidth="1"/>
    <col min="4" max="4" width="30.140625" customWidth="1"/>
    <col min="5" max="5" width="8.85546875" customWidth="1"/>
    <col min="6" max="6" width="30.140625" customWidth="1"/>
    <col min="7" max="7" width="8.85546875" customWidth="1"/>
    <col min="8" max="8" width="30.140625" customWidth="1"/>
    <col min="9" max="9" width="8.85546875" customWidth="1"/>
    <col min="10" max="16384" width="8.85546875" hidden="1"/>
  </cols>
  <sheetData>
    <row r="1" spans="1:9" ht="24.95">
      <c r="A1" s="70" t="e">
        <f ca="1" xml:space="preserve"> RIGHT(CELL("filename", $A$1), LEN(CELL("filename", $A$1)) - SEARCH("]", CELL("filename", $A$1)))</f>
        <v>#VALUE!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>
      <c r="B3" t="s">
        <v>83</v>
      </c>
      <c r="D3" t="s">
        <v>84</v>
      </c>
      <c r="F3" t="s">
        <v>85</v>
      </c>
      <c r="H3" t="s">
        <v>86</v>
      </c>
    </row>
    <row r="4" spans="1:9"/>
    <row r="5" spans="1:9">
      <c r="B5" s="293" t="e">
        <f ca="1" xml:space="preserve"> 'Model formatting'!A1</f>
        <v>#VALUE!</v>
      </c>
      <c r="D5" s="292" t="e">
        <f ca="1" xml:space="preserve"> InputsR!A1</f>
        <v>#VALUE!</v>
      </c>
      <c r="F5" s="293" t="e">
        <f ca="1" xml:space="preserve"> Time!A1</f>
        <v>#VALUE!</v>
      </c>
      <c r="H5" s="262" t="e">
        <f ca="1" xml:space="preserve"> Outputs!A1</f>
        <v>#VALUE!</v>
      </c>
    </row>
    <row r="6" spans="1:9">
      <c r="B6" t="s">
        <v>87</v>
      </c>
      <c r="D6" s="108" t="s">
        <v>88</v>
      </c>
      <c r="F6" s="108" t="s">
        <v>89</v>
      </c>
      <c r="H6" t="s">
        <v>90</v>
      </c>
    </row>
    <row r="7" spans="1:9">
      <c r="F7" s="108"/>
    </row>
    <row r="8" spans="1:9">
      <c r="B8" s="293" t="e">
        <f ca="1" xml:space="preserve"> A1</f>
        <v>#VALUE!</v>
      </c>
      <c r="D8" s="292" t="e">
        <f ca="1" xml:space="preserve"> InputsC!A1</f>
        <v>#VALUE!</v>
      </c>
      <c r="F8" s="293" t="e">
        <f ca="1" xml:space="preserve"> Index!A1</f>
        <v>#VALUE!</v>
      </c>
    </row>
    <row r="9" spans="1:9">
      <c r="B9" t="s">
        <v>91</v>
      </c>
      <c r="D9" s="108" t="s">
        <v>92</v>
      </c>
      <c r="F9" s="108" t="s">
        <v>93</v>
      </c>
    </row>
    <row r="10" spans="1:9"/>
    <row r="11" spans="1:9">
      <c r="F11" s="293" t="e">
        <f ca="1" xml:space="preserve"> Calc!A1</f>
        <v>#VALUE!</v>
      </c>
    </row>
    <row r="12" spans="1:9">
      <c r="F12" s="108" t="s">
        <v>94</v>
      </c>
    </row>
    <row r="13" spans="1:9">
      <c r="F13" t="s">
        <v>95</v>
      </c>
    </row>
    <row r="14" spans="1:9"/>
    <row r="15" spans="1:9">
      <c r="D15" s="108"/>
    </row>
    <row r="16" spans="1:9"/>
    <row r="17" spans="1:9">
      <c r="A17" s="109" t="s">
        <v>82</v>
      </c>
      <c r="B17" s="110"/>
      <c r="C17" s="110"/>
      <c r="D17" s="110"/>
      <c r="E17" s="110"/>
      <c r="F17" s="110"/>
      <c r="G17" s="110"/>
      <c r="H17" s="110"/>
      <c r="I17" s="110"/>
    </row>
    <row r="18" spans="1:9" s="149" customFormat="1"/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zoomScaleNormal="100" workbookViewId="0">
      <pane xSplit="9" ySplit="5" topLeftCell="N11" activePane="bottomRight" state="frozen"/>
      <selection pane="bottomRight" activeCell="R15" sqref="R15"/>
      <selection pane="bottomLeft"/>
      <selection pane="topRight"/>
    </sheetView>
  </sheetViews>
  <sheetFormatPr defaultColWidth="0" defaultRowHeight="12.95"/>
  <cols>
    <col min="1" max="4" width="1.140625" style="19" customWidth="1"/>
    <col min="5" max="5" width="60.5703125" style="19" bestFit="1" customWidth="1"/>
    <col min="6" max="6" width="11.85546875" style="19" customWidth="1"/>
    <col min="7" max="8" width="11.140625" style="19" customWidth="1"/>
    <col min="9" max="9" width="1.42578125" style="19" customWidth="1"/>
    <col min="10" max="18" width="11.85546875" style="19" customWidth="1"/>
    <col min="19" max="20" width="12.5703125" style="1" hidden="1" customWidth="1"/>
    <col min="21" max="29" width="11.5703125" style="1" hidden="1" customWidth="1"/>
    <col min="30" max="16384" width="9.42578125" style="1" hidden="1"/>
  </cols>
  <sheetData>
    <row r="1" spans="1:21" s="71" customFormat="1" ht="24.95">
      <c r="A1" s="70" t="e">
        <f ca="1" xml:space="preserve"> RIGHT(CELL("filename", A1), LEN(CELL("filename", A1)) - SEARCH("]", CELL("filename", A1)))</f>
        <v>#VALUE!</v>
      </c>
      <c r="C1" s="72"/>
      <c r="E1" s="73"/>
    </row>
    <row r="2" spans="1:21" s="112" customFormat="1">
      <c r="A2" s="111"/>
      <c r="B2" s="111"/>
      <c r="C2" s="111"/>
      <c r="D2" s="111"/>
      <c r="E2" s="117" t="str">
        <f xml:space="preserve"> Time!E$2</f>
        <v>Model Period Ending</v>
      </c>
      <c r="F2" s="131"/>
      <c r="G2" s="117"/>
      <c r="H2" s="117"/>
      <c r="I2" s="117"/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21" s="112" customFormat="1">
      <c r="A3" s="111"/>
      <c r="B3" s="111"/>
      <c r="C3" s="111"/>
      <c r="D3" s="111"/>
      <c r="E3" s="117" t="str">
        <f xml:space="preserve"> Time!E$3</f>
        <v>Pre Forecast vs Forecast</v>
      </c>
      <c r="F3" s="131"/>
      <c r="G3" s="131"/>
      <c r="H3" s="117"/>
      <c r="I3" s="117"/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21" s="116" customFormat="1">
      <c r="A4" s="113"/>
      <c r="B4" s="113"/>
      <c r="C4" s="113"/>
      <c r="D4" s="113"/>
      <c r="E4" s="117" t="str">
        <f xml:space="preserve"> Time!E$4</f>
        <v>Financial Year Ending</v>
      </c>
      <c r="F4" s="131"/>
      <c r="G4" s="131"/>
      <c r="H4" s="117"/>
      <c r="I4" s="117"/>
      <c r="J4" s="118">
        <f xml:space="preserve"> Time!J$29</f>
        <v>2017</v>
      </c>
      <c r="K4" s="118">
        <f xml:space="preserve"> Time!K$29</f>
        <v>2018</v>
      </c>
      <c r="L4" s="118">
        <f xml:space="preserve"> Time!L$29</f>
        <v>2019</v>
      </c>
      <c r="M4" s="118">
        <f xml:space="preserve"> Time!M$29</f>
        <v>2020</v>
      </c>
      <c r="N4" s="118">
        <f xml:space="preserve"> Time!N$29</f>
        <v>2021</v>
      </c>
      <c r="O4" s="118">
        <f xml:space="preserve"> Time!O$29</f>
        <v>2022</v>
      </c>
      <c r="P4" s="118">
        <f xml:space="preserve"> Time!P$29</f>
        <v>2023</v>
      </c>
      <c r="Q4" s="118">
        <f xml:space="preserve"> Time!Q$29</f>
        <v>2024</v>
      </c>
      <c r="R4" s="118">
        <f xml:space="preserve"> Time!R$29</f>
        <v>2025</v>
      </c>
      <c r="S4" s="114"/>
      <c r="T4" s="114"/>
      <c r="U4" s="115"/>
    </row>
    <row r="5" spans="1:21" s="112" customFormat="1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7">
        <f xml:space="preserve"> Time!J$8</f>
        <v>1</v>
      </c>
      <c r="K5" s="117">
        <f xml:space="preserve"> Time!K$8</f>
        <v>2</v>
      </c>
      <c r="L5" s="117">
        <f xml:space="preserve"> Time!L$8</f>
        <v>3</v>
      </c>
      <c r="M5" s="117">
        <f xml:space="preserve"> Time!M$8</f>
        <v>4</v>
      </c>
      <c r="N5" s="117">
        <f xml:space="preserve"> Time!N$8</f>
        <v>5</v>
      </c>
      <c r="O5" s="117">
        <f xml:space="preserve"> Time!O$8</f>
        <v>6</v>
      </c>
      <c r="P5" s="117">
        <f xml:space="preserve"> Time!P$8</f>
        <v>7</v>
      </c>
      <c r="Q5" s="117">
        <f xml:space="preserve"> Time!Q$8</f>
        <v>8</v>
      </c>
      <c r="R5" s="117">
        <f xml:space="preserve"> Time!R$8</f>
        <v>9</v>
      </c>
    </row>
    <row r="6" spans="1:21" s="112" customFormat="1" ht="12.6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1" s="112" customFormat="1">
      <c r="A7" s="176" t="s">
        <v>99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21" s="112" customFormat="1" ht="12.6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1" s="112" customFormat="1" ht="12.6">
      <c r="A9" s="111"/>
      <c r="B9" s="111"/>
      <c r="C9" s="111"/>
      <c r="D9" s="111"/>
      <c r="E9" s="111" t="s">
        <v>100</v>
      </c>
      <c r="F9" s="280"/>
      <c r="G9" s="280" t="s">
        <v>80</v>
      </c>
      <c r="H9" s="281">
        <f xml:space="preserve"> SUM( N9:R9 )</f>
        <v>2013210</v>
      </c>
      <c r="I9" s="280"/>
      <c r="J9" s="280"/>
      <c r="K9" s="280"/>
      <c r="L9" s="280"/>
      <c r="M9" s="280"/>
      <c r="N9" s="282">
        <v>396330</v>
      </c>
      <c r="O9" s="282">
        <v>401020</v>
      </c>
      <c r="P9" s="282">
        <v>403150</v>
      </c>
      <c r="Q9" s="282">
        <v>405290</v>
      </c>
      <c r="R9" s="282">
        <v>407420</v>
      </c>
    </row>
    <row r="10" spans="1:21" s="112" customFormat="1" ht="12.6">
      <c r="A10" s="111"/>
      <c r="B10" s="111"/>
      <c r="C10" s="111"/>
      <c r="D10" s="111"/>
      <c r="E10" s="111"/>
      <c r="F10" s="280"/>
      <c r="G10" s="280"/>
      <c r="H10" s="280"/>
      <c r="I10" s="280"/>
      <c r="J10" s="280"/>
      <c r="K10" s="280"/>
      <c r="L10" s="280"/>
      <c r="M10" s="280"/>
      <c r="N10" s="283"/>
      <c r="O10" s="283"/>
      <c r="P10" s="283"/>
      <c r="Q10" s="283"/>
      <c r="R10" s="283"/>
    </row>
    <row r="11" spans="1:21" s="112" customFormat="1" ht="12.6">
      <c r="A11" s="111"/>
      <c r="B11" s="111"/>
      <c r="C11" s="111"/>
      <c r="D11" s="111"/>
      <c r="E11" s="111" t="s">
        <v>101</v>
      </c>
      <c r="F11" s="280"/>
      <c r="G11" s="280" t="s">
        <v>102</v>
      </c>
      <c r="H11" s="203">
        <f xml:space="preserve"> SUM( N11:R11 )</f>
        <v>1803.0016206999999</v>
      </c>
      <c r="I11" s="280"/>
      <c r="J11" s="280"/>
      <c r="K11" s="280"/>
      <c r="L11" s="280"/>
      <c r="M11" s="280"/>
      <c r="N11" s="282">
        <v>345.33300000000003</v>
      </c>
      <c r="O11" s="282">
        <v>371.67091269999997</v>
      </c>
      <c r="P11" s="282">
        <v>353.89499999999998</v>
      </c>
      <c r="Q11" s="282">
        <v>365.60270800000001</v>
      </c>
      <c r="R11" s="282">
        <v>366.5</v>
      </c>
    </row>
    <row r="12" spans="1:21" s="112" customFormat="1" ht="12.6">
      <c r="A12" s="111"/>
      <c r="B12" s="111"/>
      <c r="C12" s="111"/>
      <c r="D12" s="111"/>
      <c r="E12" s="111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</row>
    <row r="13" spans="1:21" s="241" customFormat="1" ht="15" customHeight="1">
      <c r="A13" s="176" t="s">
        <v>103</v>
      </c>
      <c r="B13" s="176"/>
      <c r="C13" s="176"/>
      <c r="D13" s="176"/>
      <c r="E13" s="176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240"/>
      <c r="T13" s="240"/>
      <c r="U13" s="240"/>
    </row>
    <row r="14" spans="1:21" customFormat="1" ht="15" customHeight="1"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348"/>
    </row>
    <row r="15" spans="1:21" s="258" customFormat="1" ht="15" customHeight="1">
      <c r="A15" s="335"/>
      <c r="B15" s="335"/>
      <c r="C15" s="335"/>
      <c r="D15" s="335"/>
      <c r="E15" s="117" t="s">
        <v>104</v>
      </c>
      <c r="F15" s="285">
        <v>56.973999999999997</v>
      </c>
      <c r="G15" s="336" t="s">
        <v>105</v>
      </c>
      <c r="H15" s="336"/>
      <c r="I15" s="336"/>
      <c r="J15" s="336"/>
      <c r="K15" s="336"/>
      <c r="L15" s="336"/>
      <c r="M15" s="336"/>
      <c r="N15" s="336"/>
      <c r="O15" s="336"/>
      <c r="P15" s="336"/>
      <c r="Q15" s="347"/>
      <c r="R15" s="347"/>
      <c r="S15" s="335"/>
      <c r="T15" s="335"/>
      <c r="U15" s="335"/>
    </row>
    <row r="16" spans="1:21" s="126" customFormat="1" ht="15" customHeight="1">
      <c r="A16" s="25"/>
      <c r="B16" s="25"/>
      <c r="C16" s="25"/>
      <c r="D16" s="213"/>
      <c r="E16" s="25"/>
      <c r="F16" s="25"/>
      <c r="G16" s="213"/>
      <c r="H16" s="25"/>
      <c r="I16" s="25"/>
      <c r="J16" s="25"/>
      <c r="K16" s="25"/>
      <c r="L16" s="25"/>
      <c r="M16" s="25"/>
      <c r="N16" s="25"/>
      <c r="O16" s="25"/>
      <c r="P16" s="25"/>
      <c r="Q16" s="239"/>
      <c r="R16" s="239"/>
      <c r="S16" s="25"/>
      <c r="T16" s="25"/>
    </row>
    <row r="17" spans="1:21" s="126" customFormat="1" ht="15" customHeight="1">
      <c r="A17" s="25"/>
      <c r="B17" s="25"/>
      <c r="C17" s="25"/>
      <c r="D17" s="25"/>
      <c r="E17" s="25" t="s">
        <v>106</v>
      </c>
      <c r="F17" s="25"/>
      <c r="G17" s="242" t="s">
        <v>107</v>
      </c>
      <c r="H17" s="203">
        <f xml:space="preserve"> SUM( N17:R17 )</f>
        <v>918.96224020824366</v>
      </c>
      <c r="I17" s="25"/>
      <c r="J17" s="25"/>
      <c r="K17" s="25"/>
      <c r="L17" s="25"/>
      <c r="M17" s="25"/>
      <c r="N17" s="285">
        <v>159.54399999999998</v>
      </c>
      <c r="O17" s="285">
        <v>166.56</v>
      </c>
      <c r="P17" s="285">
        <v>182.74199999999999</v>
      </c>
      <c r="Q17" s="285">
        <v>201.13900000000001</v>
      </c>
      <c r="R17" s="285">
        <v>208.97724020824359</v>
      </c>
      <c r="S17" s="25"/>
      <c r="T17" s="25"/>
    </row>
    <row r="18" spans="1:21" customFormat="1" ht="15" customHeight="1">
      <c r="E18" s="150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</row>
    <row r="19" spans="1:21" s="126" customFormat="1" ht="15" customHeight="1">
      <c r="A19" s="25"/>
      <c r="B19" s="25"/>
      <c r="C19" s="25"/>
      <c r="D19" s="25"/>
      <c r="E19" s="167" t="s">
        <v>108</v>
      </c>
      <c r="F19" s="25"/>
      <c r="G19" s="242" t="s">
        <v>107</v>
      </c>
      <c r="H19" s="203">
        <f xml:space="preserve"> SUM( N19:R19 )</f>
        <v>808.11199999999997</v>
      </c>
      <c r="I19" s="25"/>
      <c r="J19" s="25"/>
      <c r="K19" s="25"/>
      <c r="L19" s="25"/>
      <c r="M19" s="25"/>
      <c r="N19" s="285">
        <v>158.887</v>
      </c>
      <c r="O19" s="285">
        <v>160.767</v>
      </c>
      <c r="P19" s="285">
        <v>160.09899999999999</v>
      </c>
      <c r="Q19" s="285">
        <v>163.34899999999999</v>
      </c>
      <c r="R19" s="285">
        <v>165.01</v>
      </c>
      <c r="S19" s="25"/>
      <c r="T19" s="25"/>
    </row>
    <row r="20" spans="1:21" s="126" customFormat="1" ht="15" customHeight="1">
      <c r="A20" s="25"/>
      <c r="B20" s="25"/>
      <c r="C20" s="25"/>
      <c r="D20" s="213"/>
      <c r="E20" s="25"/>
      <c r="F20" s="25"/>
      <c r="G20" s="242"/>
      <c r="H20" s="286"/>
      <c r="I20" s="25"/>
      <c r="J20" s="25"/>
      <c r="K20" s="25"/>
      <c r="L20" s="25"/>
      <c r="M20" s="203"/>
      <c r="N20" s="203"/>
      <c r="O20" s="203"/>
      <c r="P20" s="203"/>
      <c r="Q20" s="203"/>
      <c r="R20" s="203"/>
      <c r="S20" s="25"/>
      <c r="T20" s="25"/>
    </row>
    <row r="21" spans="1:21" s="243" customFormat="1" ht="15" customHeight="1">
      <c r="A21" s="25"/>
      <c r="B21" s="25"/>
      <c r="C21" s="25"/>
      <c r="D21" s="25"/>
      <c r="E21" s="25" t="s">
        <v>109</v>
      </c>
      <c r="F21" s="25"/>
      <c r="G21" s="242" t="s">
        <v>107</v>
      </c>
      <c r="H21" s="203">
        <f xml:space="preserve"> SUM( N21:R21 )</f>
        <v>0</v>
      </c>
      <c r="I21" s="25"/>
      <c r="J21" s="25"/>
      <c r="K21" s="25"/>
      <c r="L21" s="25"/>
      <c r="M21" s="25"/>
      <c r="N21" s="285">
        <v>0</v>
      </c>
      <c r="O21" s="285">
        <v>0</v>
      </c>
      <c r="P21" s="285">
        <v>0</v>
      </c>
      <c r="Q21" s="285">
        <v>0</v>
      </c>
      <c r="R21" s="285">
        <v>0</v>
      </c>
      <c r="S21" s="25"/>
      <c r="T21" s="25"/>
      <c r="U21" s="126"/>
    </row>
    <row r="22" spans="1:21" s="126" customFormat="1" ht="15" customHeight="1">
      <c r="A22" s="25"/>
      <c r="B22" s="25"/>
      <c r="C22" s="25"/>
      <c r="D22" s="213"/>
      <c r="E22" s="25"/>
      <c r="F22" s="25"/>
      <c r="G22" s="242"/>
      <c r="H22" s="286"/>
      <c r="I22" s="25"/>
      <c r="J22" s="25"/>
      <c r="K22" s="25"/>
      <c r="L22" s="25"/>
      <c r="M22" s="25"/>
      <c r="N22"/>
      <c r="O22" s="203"/>
      <c r="P22" s="203"/>
      <c r="Q22" s="203"/>
      <c r="R22" s="203"/>
      <c r="S22" s="25"/>
      <c r="T22" s="25"/>
    </row>
    <row r="23" spans="1:21" s="112" customFormat="1" ht="12.6">
      <c r="A23" s="111"/>
      <c r="B23" s="111"/>
      <c r="C23" s="111"/>
      <c r="D23" s="111"/>
      <c r="E23" s="111" t="s">
        <v>110</v>
      </c>
      <c r="F23" s="287">
        <v>2.92E-2</v>
      </c>
      <c r="G23" s="288" t="s">
        <v>111</v>
      </c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21" customFormat="1" ht="14.45"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</row>
    <row r="25" spans="1:21" customFormat="1" ht="14.45">
      <c r="A25" s="176" t="s">
        <v>112</v>
      </c>
      <c r="B25" s="176"/>
      <c r="C25" s="176"/>
      <c r="D25" s="176"/>
      <c r="E25" s="176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1" customFormat="1" ht="14.45"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</row>
    <row r="27" spans="1:21" customFormat="1" ht="14.45">
      <c r="E27" s="111" t="s">
        <v>113</v>
      </c>
      <c r="F27" s="287">
        <v>0.1</v>
      </c>
      <c r="G27" s="288" t="s">
        <v>111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</row>
    <row r="28" spans="1:21" customFormat="1" ht="14.45">
      <c r="E28" s="111"/>
      <c r="F28" s="284"/>
      <c r="G28" s="288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</row>
    <row r="29" spans="1:21" customFormat="1" ht="14.45">
      <c r="E29" s="111" t="s">
        <v>114</v>
      </c>
      <c r="F29" s="287">
        <v>0.06</v>
      </c>
      <c r="G29" s="288" t="s">
        <v>111</v>
      </c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</row>
    <row r="30" spans="1:21" s="112" customFormat="1" ht="12.6">
      <c r="A30" s="111"/>
      <c r="B30" s="111"/>
      <c r="C30" s="111"/>
      <c r="D30" s="111"/>
      <c r="E30" s="111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</row>
    <row r="31" spans="1:21" s="112" customFormat="1">
      <c r="A31" s="176" t="s">
        <v>115</v>
      </c>
      <c r="B31" s="176"/>
      <c r="C31" s="176"/>
      <c r="D31" s="176"/>
      <c r="E31" s="176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21" s="112" customFormat="1" ht="12.6">
      <c r="A32" s="111"/>
      <c r="B32" s="111"/>
      <c r="C32" s="111"/>
      <c r="D32" s="111"/>
      <c r="E32" s="111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</row>
    <row r="33" spans="1:25" s="111" customFormat="1" ht="12.6">
      <c r="E33" s="111" t="s">
        <v>116</v>
      </c>
      <c r="F33" s="280"/>
      <c r="G33" s="280" t="s">
        <v>117</v>
      </c>
      <c r="H33" s="280"/>
      <c r="I33" s="280"/>
      <c r="J33" s="298">
        <v>101.8</v>
      </c>
      <c r="K33" s="298">
        <v>104.7</v>
      </c>
      <c r="L33" s="298">
        <v>106.9</v>
      </c>
      <c r="M33" s="298">
        <v>108.5</v>
      </c>
      <c r="N33" s="298">
        <v>109.1</v>
      </c>
      <c r="O33" s="298">
        <v>114.1</v>
      </c>
      <c r="P33" s="298">
        <v>124.8</v>
      </c>
      <c r="Q33" s="298">
        <v>130</v>
      </c>
      <c r="R33" s="298">
        <v>133.5</v>
      </c>
    </row>
    <row r="34" spans="1:25" s="111" customFormat="1" ht="14.45">
      <c r="F34" s="280"/>
      <c r="G34" s="280"/>
      <c r="H34" s="280"/>
      <c r="I34" s="280"/>
      <c r="J34" s="284"/>
      <c r="K34" s="284"/>
      <c r="L34" s="284"/>
      <c r="M34" s="284"/>
      <c r="N34" s="284"/>
      <c r="O34" s="284"/>
      <c r="P34" s="284"/>
      <c r="Q34" s="284"/>
      <c r="R34" s="284"/>
    </row>
    <row r="35" spans="1:25" s="111" customFormat="1" ht="14.45">
      <c r="E35" s="111" t="s">
        <v>118</v>
      </c>
      <c r="F35" s="203">
        <f xml:space="preserve"> $J$33</f>
        <v>101.8</v>
      </c>
      <c r="G35" s="280" t="s">
        <v>117</v>
      </c>
      <c r="H35" s="280"/>
      <c r="I35" s="280"/>
      <c r="J35" s="284"/>
      <c r="K35" s="284"/>
      <c r="L35" s="284"/>
      <c r="M35" s="284"/>
      <c r="N35" s="284"/>
      <c r="O35" s="284"/>
      <c r="P35" s="284"/>
      <c r="Q35" s="284"/>
      <c r="R35" s="284"/>
    </row>
    <row r="36" spans="1:25" customFormat="1" ht="14.45"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</row>
    <row r="37" spans="1:25" s="111" customFormat="1" ht="14.45">
      <c r="E37" s="111" t="s">
        <v>119</v>
      </c>
      <c r="F37" s="287">
        <v>0.02</v>
      </c>
      <c r="G37" s="280"/>
      <c r="H37" s="280"/>
      <c r="I37" s="280"/>
      <c r="J37" s="284"/>
      <c r="K37" s="284"/>
      <c r="L37" s="284"/>
      <c r="M37" s="284"/>
      <c r="N37" s="284"/>
      <c r="O37" s="284"/>
      <c r="P37" s="284"/>
      <c r="Q37" s="284"/>
      <c r="R37" s="284"/>
    </row>
    <row r="38" spans="1:25" customFormat="1" ht="14.45">
      <c r="A38" s="83"/>
      <c r="B38" s="83"/>
      <c r="C38" s="84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07" customFormat="1" ht="14.1">
      <c r="A39" s="109" t="s">
        <v>82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337"/>
      <c r="T39" s="337"/>
      <c r="U39" s="337"/>
      <c r="V39" s="337"/>
      <c r="W39" s="337"/>
      <c r="X39" s="337"/>
      <c r="Y39" s="337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E38">
    <cfRule type="duplicateValues" dxfId="19" priority="34"/>
  </conditionalFormatting>
  <conditionalFormatting sqref="J3:R3">
    <cfRule type="cellIs" dxfId="18" priority="5" operator="equal">
      <formula>"Post-Fcst"</formula>
    </cfRule>
    <cfRule type="cellIs" dxfId="17" priority="6" operator="equal">
      <formula>"Forecast"</formula>
    </cfRule>
    <cfRule type="cellIs" dxfId="16" priority="7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120" zoomScaleNormal="120" workbookViewId="0">
      <pane xSplit="9" ySplit="5" topLeftCell="J6" activePane="bottomRight" state="frozen"/>
      <selection pane="bottomRight"/>
      <selection pane="bottomLeft"/>
      <selection pane="topRight"/>
    </sheetView>
  </sheetViews>
  <sheetFormatPr defaultColWidth="0" defaultRowHeight="14.1" zeroHeight="1"/>
  <cols>
    <col min="1" max="4" width="1.140625" style="274" customWidth="1"/>
    <col min="5" max="5" width="56" style="274" customWidth="1"/>
    <col min="6" max="6" width="12.28515625" style="274" bestFit="1" customWidth="1"/>
    <col min="7" max="8" width="11.140625" style="274" customWidth="1"/>
    <col min="9" max="9" width="1.42578125" style="274" customWidth="1"/>
    <col min="10" max="18" width="11.85546875" style="274" customWidth="1"/>
    <col min="19" max="16384" width="8.85546875" style="274" hidden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45">
      <c r="A2" s="111"/>
      <c r="B2" s="111"/>
      <c r="C2" s="111"/>
      <c r="D2" s="111"/>
      <c r="E2" s="117" t="str">
        <f xml:space="preserve"> Time!E$2</f>
        <v>Model Period Ending</v>
      </c>
      <c r="F2"/>
      <c r="G2"/>
      <c r="H2"/>
      <c r="I2" s="117">
        <f xml:space="preserve"> Time!I$2</f>
        <v>0</v>
      </c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18" ht="14.45">
      <c r="A3" s="111"/>
      <c r="B3" s="111"/>
      <c r="C3" s="111"/>
      <c r="D3" s="111"/>
      <c r="E3" s="117" t="str">
        <f xml:space="preserve"> Time!E$3</f>
        <v>Pre Forecast vs Forecast</v>
      </c>
      <c r="F3"/>
      <c r="G3"/>
      <c r="H3"/>
      <c r="I3" s="117">
        <f xml:space="preserve"> Time!I$3</f>
        <v>0</v>
      </c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18" ht="14.45">
      <c r="A4" s="113"/>
      <c r="B4" s="113"/>
      <c r="C4" s="113"/>
      <c r="D4" s="113"/>
      <c r="E4" s="117" t="str">
        <f xml:space="preserve"> Time!E$4</f>
        <v>Financial Year Ending</v>
      </c>
      <c r="F4"/>
      <c r="G4"/>
      <c r="H4"/>
      <c r="I4" s="117">
        <f xml:space="preserve"> Time!I$4</f>
        <v>0</v>
      </c>
      <c r="J4" s="117">
        <f xml:space="preserve"> Time!J$29</f>
        <v>2017</v>
      </c>
      <c r="K4" s="117">
        <f xml:space="preserve"> Time!K$29</f>
        <v>2018</v>
      </c>
      <c r="L4" s="117">
        <f xml:space="preserve"> Time!L$29</f>
        <v>2019</v>
      </c>
      <c r="M4" s="117">
        <f xml:space="preserve"> Time!M$29</f>
        <v>2020</v>
      </c>
      <c r="N4" s="117">
        <f xml:space="preserve"> Time!N$29</f>
        <v>2021</v>
      </c>
      <c r="O4" s="117">
        <f xml:space="preserve"> Time!O$29</f>
        <v>2022</v>
      </c>
      <c r="P4" s="117">
        <f xml:space="preserve"> Time!P$29</f>
        <v>2023</v>
      </c>
      <c r="Q4" s="117">
        <f xml:space="preserve"> Time!Q$29</f>
        <v>2024</v>
      </c>
      <c r="R4" s="117">
        <f xml:space="preserve"> Time!R$29</f>
        <v>2025</v>
      </c>
    </row>
    <row r="5" spans="1:18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1">
        <f xml:space="preserve"> Time!J$8</f>
        <v>1</v>
      </c>
      <c r="K5" s="111">
        <f xml:space="preserve"> Time!K$8</f>
        <v>2</v>
      </c>
      <c r="L5" s="111">
        <f xml:space="preserve"> Time!L$8</f>
        <v>3</v>
      </c>
      <c r="M5" s="111">
        <f xml:space="preserve"> Time!M$8</f>
        <v>4</v>
      </c>
      <c r="N5" s="111">
        <f xml:space="preserve"> Time!N$8</f>
        <v>5</v>
      </c>
      <c r="O5" s="111">
        <f xml:space="preserve"> Time!O$8</f>
        <v>6</v>
      </c>
      <c r="P5" s="111">
        <f xml:space="preserve"> Time!P$8</f>
        <v>7</v>
      </c>
      <c r="Q5" s="111">
        <f xml:space="preserve"> Time!Q$8</f>
        <v>8</v>
      </c>
      <c r="R5" s="111">
        <f xml:space="preserve"> Time!R$8</f>
        <v>9</v>
      </c>
    </row>
    <row r="6" spans="1:18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117" customFormat="1" ht="12.95">
      <c r="A7" s="176" t="s">
        <v>120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18" s="117" customFormat="1" ht="12.95">
      <c r="E8" s="14"/>
      <c r="F8" s="111"/>
      <c r="G8" s="111"/>
    </row>
    <row r="9" spans="1:18" s="117" customFormat="1" ht="12.6">
      <c r="E9" s="6" t="s">
        <v>121</v>
      </c>
      <c r="F9" s="294">
        <v>42461</v>
      </c>
      <c r="G9" s="111" t="s">
        <v>122</v>
      </c>
    </row>
    <row r="10" spans="1:18" s="117" customFormat="1" ht="12.6">
      <c r="E10" s="6"/>
      <c r="F10" s="6"/>
      <c r="G10" s="6"/>
    </row>
    <row r="11" spans="1:18" s="117" customFormat="1" ht="12.6">
      <c r="E11" s="6" t="s">
        <v>123</v>
      </c>
      <c r="F11" s="295">
        <v>2017</v>
      </c>
      <c r="G11" s="111" t="s">
        <v>124</v>
      </c>
    </row>
    <row r="12" spans="1:18" s="117" customFormat="1" ht="12.6">
      <c r="E12" s="6"/>
      <c r="F12" s="6"/>
      <c r="G12" s="111"/>
    </row>
    <row r="13" spans="1:18" s="117" customFormat="1" ht="12.6">
      <c r="E13" s="6" t="s">
        <v>125</v>
      </c>
      <c r="F13" s="295">
        <v>3</v>
      </c>
      <c r="G13" s="111" t="s">
        <v>126</v>
      </c>
    </row>
    <row r="14" spans="1:18" s="117" customFormat="1" ht="12.6">
      <c r="E14" s="6"/>
      <c r="F14" s="6"/>
      <c r="G14" s="111"/>
    </row>
    <row r="15" spans="1:18" s="117" customFormat="1" ht="12.6">
      <c r="E15" s="6" t="s">
        <v>127</v>
      </c>
      <c r="F15" s="294">
        <v>43921</v>
      </c>
      <c r="G15" s="111" t="s">
        <v>122</v>
      </c>
    </row>
    <row r="16" spans="1:18" s="117" customFormat="1" ht="12.6">
      <c r="E16" s="6"/>
      <c r="F16" s="6"/>
      <c r="G16" s="111"/>
    </row>
    <row r="17" spans="1:18" s="117" customFormat="1" ht="12.6">
      <c r="E17" s="6" t="s">
        <v>128</v>
      </c>
      <c r="F17" s="294">
        <v>45747</v>
      </c>
      <c r="G17" s="111" t="s">
        <v>122</v>
      </c>
    </row>
    <row r="18" spans="1:18" s="117" customFormat="1" ht="12.6">
      <c r="E18" s="111"/>
      <c r="F18" s="111"/>
      <c r="G18" s="111"/>
    </row>
    <row r="19" spans="1:18" s="117" customFormat="1" ht="12.95">
      <c r="A19" s="176" t="s">
        <v>129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</row>
    <row r="20" spans="1:18" s="117" customFormat="1" ht="12.95">
      <c r="E20" s="14"/>
    </row>
    <row r="21" spans="1:18" s="117" customFormat="1" ht="12.6">
      <c r="E21" s="5" t="s">
        <v>130</v>
      </c>
      <c r="F21" s="296">
        <v>1000000</v>
      </c>
      <c r="G21" s="111" t="s">
        <v>131</v>
      </c>
    </row>
    <row r="22" spans="1:18" s="117" customFormat="1" ht="12.6"/>
    <row r="23" spans="1:18" s="117" customFormat="1" ht="12.6">
      <c r="E23" s="5" t="s">
        <v>132</v>
      </c>
      <c r="F23" s="296">
        <v>1000</v>
      </c>
      <c r="G23" s="111" t="s">
        <v>131</v>
      </c>
    </row>
    <row r="24" spans="1:18" s="117" customFormat="1" ht="12.6"/>
    <row r="25" spans="1:18" s="117" customFormat="1" ht="12.6">
      <c r="E25" s="5" t="s">
        <v>133</v>
      </c>
      <c r="F25" s="297">
        <v>9.9999999999999995E-8</v>
      </c>
      <c r="G25" s="130" t="s">
        <v>134</v>
      </c>
    </row>
    <row r="26" spans="1:18" s="117" customFormat="1" ht="12.6"/>
    <row r="27" spans="1:18" s="279" customFormat="1" ht="12.95">
      <c r="A27" s="120" t="s">
        <v>82</v>
      </c>
    </row>
    <row r="28" spans="1:18">
      <c r="A28" s="335"/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</row>
    <row r="29" spans="1:18" ht="14.65" hidden="1" customHeight="1">
      <c r="A29" s="335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</row>
    <row r="30" spans="1:18" ht="14.65" hidden="1" customHeight="1">
      <c r="A30" s="335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</row>
    <row r="31" spans="1:18" ht="14.65" hidden="1" customHeight="1">
      <c r="A31" s="335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18" ht="14.65" hidden="1" customHeight="1">
      <c r="A32" s="335"/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</row>
    <row r="33" ht="14.65" hidden="1" customHeight="1"/>
    <row r="34" ht="14.65" hidden="1" customHeight="1"/>
  </sheetData>
  <conditionalFormatting sqref="J3:R3">
    <cfRule type="cellIs" dxfId="15" priority="9" operator="equal">
      <formula>"Post-Fcst"</formula>
    </cfRule>
    <cfRule type="cellIs" dxfId="14" priority="10" operator="equal">
      <formula>"Forecast"</formula>
    </cfRule>
    <cfRule type="cellIs" dxfId="13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Normal="100" workbookViewId="0">
      <pane xSplit="9" ySplit="5" topLeftCell="J6" activePane="bottomRight" state="frozen"/>
      <selection pane="bottomRight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56" customWidth="1"/>
    <col min="6" max="6" width="12.42578125" customWidth="1"/>
    <col min="7" max="8" width="11.140625" customWidth="1"/>
    <col min="9" max="9" width="1.42578125" customWidth="1"/>
    <col min="10" max="18" width="11.85546875" customWidth="1"/>
    <col min="19" max="81" width="0" hidden="1" customWidth="1"/>
    <col min="82" max="16384" width="8.85546875" hidden="1"/>
  </cols>
  <sheetData>
    <row r="1" spans="1:23" s="71" customFormat="1" ht="24.95">
      <c r="A1" s="70" t="e">
        <f ca="1" xml:space="preserve"> RIGHT(CELL("filename", A1), LEN(CELL("filename", A1)) - SEARCH("]", CELL("filename", A1)))</f>
        <v>#VALUE!</v>
      </c>
      <c r="C1" s="72"/>
      <c r="E1" s="73"/>
    </row>
    <row r="2" spans="1:23" s="117" customFormat="1">
      <c r="E2" s="117" t="str">
        <f xml:space="preserve"> E$21</f>
        <v>Model Period Ending</v>
      </c>
      <c r="F2"/>
      <c r="G2"/>
      <c r="H2"/>
      <c r="I2" s="117">
        <f t="shared" ref="I2:R2" si="0" xml:space="preserve"> I$21</f>
        <v>0</v>
      </c>
      <c r="J2" s="153">
        <f t="shared" si="0"/>
        <v>42825</v>
      </c>
      <c r="K2" s="153">
        <f t="shared" si="0"/>
        <v>43190</v>
      </c>
      <c r="L2" s="153">
        <f t="shared" si="0"/>
        <v>43555</v>
      </c>
      <c r="M2" s="153">
        <f t="shared" si="0"/>
        <v>43921</v>
      </c>
      <c r="N2" s="153">
        <f t="shared" si="0"/>
        <v>44286</v>
      </c>
      <c r="O2" s="153">
        <f t="shared" si="0"/>
        <v>44651</v>
      </c>
      <c r="P2" s="153">
        <f t="shared" si="0"/>
        <v>45016</v>
      </c>
      <c r="Q2" s="153">
        <f t="shared" si="0"/>
        <v>45382</v>
      </c>
      <c r="R2" s="153">
        <f t="shared" si="0"/>
        <v>45747</v>
      </c>
    </row>
    <row r="3" spans="1:23" s="117" customFormat="1">
      <c r="E3" s="117" t="str">
        <f xml:space="preserve"> E55</f>
        <v>Pre Forecast vs Forecast</v>
      </c>
      <c r="F3"/>
      <c r="G3"/>
      <c r="H3"/>
      <c r="I3" s="117">
        <f t="shared" ref="I3:R3" si="1" xml:space="preserve"> I55</f>
        <v>0</v>
      </c>
      <c r="J3" s="117" t="str">
        <f t="shared" ref="J3:K3" si="2" xml:space="preserve"> J55</f>
        <v>Pre Fcst</v>
      </c>
      <c r="K3" s="117" t="str">
        <f t="shared" si="2"/>
        <v>Pre Fcst</v>
      </c>
      <c r="L3" s="117" t="str">
        <f t="shared" si="1"/>
        <v>Pre Fcst</v>
      </c>
      <c r="M3" s="117" t="str">
        <f t="shared" si="1"/>
        <v>Pre Fcst</v>
      </c>
      <c r="N3" s="117" t="str">
        <f t="shared" si="1"/>
        <v>Forecast</v>
      </c>
      <c r="O3" s="117" t="str">
        <f t="shared" si="1"/>
        <v>Forecast</v>
      </c>
      <c r="P3" s="117" t="str">
        <f t="shared" si="1"/>
        <v>Forecast</v>
      </c>
      <c r="Q3" s="117" t="str">
        <f t="shared" si="1"/>
        <v>Forecast</v>
      </c>
      <c r="R3" s="117" t="str">
        <f t="shared" si="1"/>
        <v>Forecast</v>
      </c>
    </row>
    <row r="4" spans="1:23" s="117" customFormat="1">
      <c r="E4" s="117" t="str">
        <f xml:space="preserve"> E$29</f>
        <v>Financial Year Ending</v>
      </c>
      <c r="F4"/>
      <c r="G4"/>
      <c r="H4"/>
      <c r="I4" s="117">
        <f t="shared" ref="I4:R4" si="3" xml:space="preserve"> I$29</f>
        <v>0</v>
      </c>
      <c r="J4" s="118">
        <f t="shared" si="3"/>
        <v>2017</v>
      </c>
      <c r="K4" s="118">
        <f t="shared" si="3"/>
        <v>2018</v>
      </c>
      <c r="L4" s="118">
        <f t="shared" si="3"/>
        <v>2019</v>
      </c>
      <c r="M4" s="118">
        <f t="shared" si="3"/>
        <v>2020</v>
      </c>
      <c r="N4" s="118">
        <f t="shared" si="3"/>
        <v>2021</v>
      </c>
      <c r="O4" s="118">
        <f t="shared" si="3"/>
        <v>2022</v>
      </c>
      <c r="P4" s="118">
        <f t="shared" si="3"/>
        <v>2023</v>
      </c>
      <c r="Q4" s="118">
        <f t="shared" si="3"/>
        <v>2024</v>
      </c>
      <c r="R4" s="118">
        <f t="shared" si="3"/>
        <v>2025</v>
      </c>
    </row>
    <row r="5" spans="1:23" s="117" customFormat="1" ht="12.6">
      <c r="E5" s="117" t="str">
        <f xml:space="preserve"> E$8</f>
        <v>Model column counter</v>
      </c>
      <c r="F5" s="117">
        <f t="shared" ref="F5:I5" si="4" xml:space="preserve"> F$8</f>
        <v>0</v>
      </c>
      <c r="G5" s="117" t="str">
        <f t="shared" si="4"/>
        <v>counter</v>
      </c>
      <c r="H5" s="117">
        <f t="shared" si="4"/>
        <v>0</v>
      </c>
      <c r="I5" s="117">
        <f t="shared" si="4"/>
        <v>0</v>
      </c>
      <c r="J5" s="117">
        <f xml:space="preserve"> J$8</f>
        <v>1</v>
      </c>
      <c r="K5" s="117">
        <f t="shared" ref="K5:R5" si="5" xml:space="preserve"> K$8</f>
        <v>2</v>
      </c>
      <c r="L5" s="117">
        <f t="shared" si="5"/>
        <v>3</v>
      </c>
      <c r="M5" s="117">
        <f t="shared" si="5"/>
        <v>4</v>
      </c>
      <c r="N5" s="117">
        <f t="shared" si="5"/>
        <v>5</v>
      </c>
      <c r="O5" s="117">
        <f t="shared" si="5"/>
        <v>6</v>
      </c>
      <c r="P5" s="117">
        <f t="shared" si="5"/>
        <v>7</v>
      </c>
      <c r="Q5" s="117">
        <f t="shared" si="5"/>
        <v>8</v>
      </c>
      <c r="R5" s="117">
        <f t="shared" si="5"/>
        <v>9</v>
      </c>
    </row>
    <row r="6" spans="1:23" s="119" customFormat="1" ht="12.6"/>
    <row r="7" spans="1:23" s="119" customFormat="1" ht="12.95">
      <c r="A7" s="23"/>
      <c r="B7" s="23" t="s">
        <v>135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19" customFormat="1" ht="12.95">
      <c r="A8" s="23"/>
      <c r="B8" s="23"/>
      <c r="C8" s="24"/>
      <c r="D8" s="25"/>
      <c r="E8" s="28" t="s">
        <v>136</v>
      </c>
      <c r="F8" s="28"/>
      <c r="G8" s="28" t="s">
        <v>137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19" customFormat="1" ht="12.95">
      <c r="A9" s="23"/>
      <c r="B9" s="23"/>
      <c r="C9" s="24"/>
      <c r="D9" s="25"/>
      <c r="E9" s="25" t="s">
        <v>138</v>
      </c>
      <c r="F9" s="30">
        <f xml:space="preserve"> MAX(L8:R8)</f>
        <v>9</v>
      </c>
      <c r="G9" s="25" t="s">
        <v>139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19" customFormat="1" ht="12.95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0" customFormat="1" ht="12.95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26" customFormat="1" ht="12.95">
      <c r="A12" s="35"/>
      <c r="B12" s="36"/>
      <c r="C12" s="37"/>
      <c r="D12" s="38"/>
      <c r="E12" s="21" t="s">
        <v>140</v>
      </c>
      <c r="G12" s="26" t="s">
        <v>141</v>
      </c>
      <c r="H12" s="26">
        <f xml:space="preserve"> SUM(L12:CC12)</f>
        <v>0</v>
      </c>
      <c r="J12" s="26">
        <f xml:space="preserve"> IF( J11 = 1, 1, 0)</f>
        <v>1</v>
      </c>
      <c r="K12" s="26">
        <f xml:space="preserve"> IF( K11 = 1, 1, 0)</f>
        <v>0</v>
      </c>
      <c r="L12" s="26">
        <f xml:space="preserve"> IF( L11 = 1, 1, 0)</f>
        <v>0</v>
      </c>
      <c r="M12" s="26">
        <f t="shared" ref="M12:R12" si="9" xml:space="preserve"> IF( M11 = 1, 1, 0)</f>
        <v>0</v>
      </c>
      <c r="N12" s="26">
        <f t="shared" si="9"/>
        <v>0</v>
      </c>
      <c r="O12" s="26">
        <f t="shared" si="9"/>
        <v>0</v>
      </c>
      <c r="P12" s="26">
        <f t="shared" si="9"/>
        <v>0</v>
      </c>
      <c r="Q12" s="26">
        <f t="shared" si="9"/>
        <v>0</v>
      </c>
      <c r="R12" s="26">
        <f t="shared" si="9"/>
        <v>0</v>
      </c>
    </row>
    <row r="13" spans="1:23" s="119" customFormat="1" ht="12.95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19" customFormat="1" ht="12.95">
      <c r="A14" s="23"/>
      <c r="B14" s="23" t="s">
        <v>142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19" customFormat="1" ht="12.95">
      <c r="A15" s="23"/>
      <c r="B15" s="23"/>
      <c r="C15" s="24"/>
      <c r="D15" s="25"/>
      <c r="E15" s="74" t="str">
        <f>InputsC!E9</f>
        <v>First date of time ruler</v>
      </c>
      <c r="F15" s="40">
        <f>InputsC!F9</f>
        <v>42461</v>
      </c>
      <c r="G15" s="40" t="str">
        <f>InputsC!G9</f>
        <v>date</v>
      </c>
      <c r="H15" s="39"/>
      <c r="I15" s="40"/>
      <c r="J15" s="40"/>
      <c r="K15" s="39"/>
      <c r="L15" s="39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119" customFormat="1" ht="12.95">
      <c r="A16" s="23"/>
      <c r="B16" s="23"/>
      <c r="C16" s="24"/>
      <c r="D16" s="25"/>
      <c r="E16" s="21" t="s">
        <v>143</v>
      </c>
      <c r="F16" s="42">
        <f xml:space="preserve"> DATE(YEAR(F15), MONTH(F15), 1)</f>
        <v>42461</v>
      </c>
      <c r="G16" s="42" t="s">
        <v>144</v>
      </c>
      <c r="H16" s="42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119" customFormat="1" ht="12.95">
      <c r="A17" s="23"/>
      <c r="B17" s="23"/>
      <c r="C17" s="24"/>
      <c r="D17" s="25"/>
      <c r="E17" s="45"/>
      <c r="F17" s="39"/>
      <c r="G17" s="39"/>
      <c r="H17" s="39"/>
      <c r="I17" s="40"/>
      <c r="J17" s="40"/>
      <c r="K17" s="39"/>
      <c r="L17" s="39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19" customFormat="1" ht="12.95">
      <c r="A18" s="23"/>
      <c r="B18" s="23"/>
      <c r="C18" s="24"/>
      <c r="D18" s="25"/>
      <c r="E18" s="42" t="str">
        <f xml:space="preserve"> E$16</f>
        <v>First model period BEG</v>
      </c>
      <c r="F18" s="42">
        <f xml:space="preserve"> F$16</f>
        <v>42461</v>
      </c>
      <c r="G18" s="42" t="str">
        <f xml:space="preserve"> G$16</f>
        <v>month</v>
      </c>
      <c r="H18" s="42"/>
      <c r="I18" s="43"/>
      <c r="J18" s="43"/>
      <c r="K18" s="42"/>
      <c r="L18" s="4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19" customFormat="1" ht="12.95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19" customFormat="1" ht="12.95">
      <c r="A20" s="23"/>
      <c r="B20" s="23"/>
      <c r="C20" s="24"/>
      <c r="D20" s="25"/>
      <c r="E20" s="21" t="s">
        <v>145</v>
      </c>
      <c r="F20" s="46"/>
      <c r="G20" s="46" t="s">
        <v>122</v>
      </c>
      <c r="H20" s="46"/>
      <c r="I20" s="46"/>
      <c r="J20" s="46">
        <f xml:space="preserve"> IF( J19 = 1, $F18, I21 + 1)</f>
        <v>42461</v>
      </c>
      <c r="K20" s="46">
        <f t="shared" ref="K20:R20" si="12" xml:space="preserve"> IF( K19 = 1, $F18, J21 + 1)</f>
        <v>42826</v>
      </c>
      <c r="L20" s="46">
        <f t="shared" si="12"/>
        <v>43191</v>
      </c>
      <c r="M20" s="46">
        <f t="shared" si="12"/>
        <v>43556</v>
      </c>
      <c r="N20" s="46">
        <f t="shared" si="12"/>
        <v>43922</v>
      </c>
      <c r="O20" s="46">
        <f t="shared" si="12"/>
        <v>44287</v>
      </c>
      <c r="P20" s="46">
        <f t="shared" si="12"/>
        <v>44652</v>
      </c>
      <c r="Q20" s="46">
        <f t="shared" si="12"/>
        <v>45017</v>
      </c>
      <c r="R20" s="46">
        <f t="shared" si="12"/>
        <v>45383</v>
      </c>
      <c r="S20" s="8"/>
      <c r="T20" s="8"/>
      <c r="U20" s="8"/>
      <c r="V20" s="8"/>
      <c r="W20" s="8"/>
    </row>
    <row r="21" spans="1:23" s="119" customFormat="1" ht="12.95">
      <c r="A21" s="23"/>
      <c r="B21" s="23"/>
      <c r="C21" s="24"/>
      <c r="D21" s="25"/>
      <c r="E21" s="47" t="s">
        <v>146</v>
      </c>
      <c r="F21" s="186"/>
      <c r="G21" s="252" t="s">
        <v>122</v>
      </c>
      <c r="H21" s="252"/>
      <c r="I21" s="46"/>
      <c r="J21" s="252">
        <f t="shared" ref="J21" si="13" xml:space="preserve"> DATE(YEAR(J20), MONTH(J20) + 12, DAY(1) - 1)</f>
        <v>42825</v>
      </c>
      <c r="K21" s="252">
        <f t="shared" ref="K21:R21" si="14" xml:space="preserve"> DATE(YEAR(K20), MONTH(K20) + 12, DAY(1) - 1)</f>
        <v>43190</v>
      </c>
      <c r="L21" s="252">
        <f t="shared" si="14"/>
        <v>43555</v>
      </c>
      <c r="M21" s="252">
        <f t="shared" si="14"/>
        <v>43921</v>
      </c>
      <c r="N21" s="252">
        <f t="shared" si="14"/>
        <v>44286</v>
      </c>
      <c r="O21" s="252">
        <f t="shared" si="14"/>
        <v>44651</v>
      </c>
      <c r="P21" s="252">
        <f t="shared" si="14"/>
        <v>45016</v>
      </c>
      <c r="Q21" s="252">
        <f t="shared" si="14"/>
        <v>45382</v>
      </c>
      <c r="R21" s="252">
        <f t="shared" si="14"/>
        <v>45747</v>
      </c>
      <c r="S21" s="8"/>
      <c r="T21" s="8"/>
      <c r="U21" s="8"/>
      <c r="V21" s="8"/>
      <c r="W21" s="8"/>
    </row>
    <row r="22" spans="1:23" s="119" customFormat="1" ht="12.95">
      <c r="A22" s="23"/>
      <c r="B22" s="23"/>
      <c r="C22" s="24"/>
      <c r="D22" s="25"/>
      <c r="E22" s="26"/>
      <c r="F22" s="254"/>
      <c r="G22" s="255"/>
      <c r="H22" s="26"/>
      <c r="I22" s="46"/>
      <c r="J22" s="4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5" customFormat="1" ht="12.95">
      <c r="A23" s="253" t="s">
        <v>147</v>
      </c>
      <c r="B23" s="48"/>
      <c r="C23" s="49"/>
      <c r="D23" s="50"/>
      <c r="E23" s="6"/>
    </row>
    <row r="24" spans="1:23" s="26" customFormat="1" ht="12.95">
      <c r="A24" s="51"/>
      <c r="B24" s="48"/>
      <c r="C24" s="49"/>
      <c r="D24" s="38"/>
      <c r="E24" s="21"/>
    </row>
    <row r="25" spans="1:23" s="26" customFormat="1" ht="12.95">
      <c r="A25" s="51"/>
      <c r="B25" s="48"/>
      <c r="C25" s="49"/>
      <c r="D25" s="38"/>
      <c r="E25" s="74" t="str">
        <f>InputsC!E11</f>
        <v>First Modelling Column Financial Year Number</v>
      </c>
      <c r="F25" s="78">
        <f>InputsC!F11</f>
        <v>2017</v>
      </c>
      <c r="G25" s="77" t="str">
        <f>InputsC!G11</f>
        <v>count</v>
      </c>
    </row>
    <row r="26" spans="1:23" s="26" customFormat="1" ht="12.95">
      <c r="A26" s="51"/>
      <c r="B26" s="48"/>
      <c r="C26" s="49"/>
      <c r="D26" s="38"/>
      <c r="E26" s="74" t="str">
        <f>InputsC!E13</f>
        <v>Financial Year End Month Number</v>
      </c>
      <c r="F26" s="77">
        <f>InputsC!F13</f>
        <v>3</v>
      </c>
      <c r="G26" s="77" t="str">
        <f>InputsC!G13</f>
        <v>month #</v>
      </c>
    </row>
    <row r="27" spans="1:23" s="46" customFormat="1" ht="12.95">
      <c r="A27" s="52"/>
      <c r="B27" s="53"/>
      <c r="C27" s="54"/>
      <c r="D27" s="55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6">
        <f t="shared" ref="J27:R27" si="16" xml:space="preserve"> J21</f>
        <v>42825</v>
      </c>
      <c r="K27" s="46">
        <f t="shared" si="16"/>
        <v>43190</v>
      </c>
      <c r="L27" s="46">
        <f t="shared" si="16"/>
        <v>43555</v>
      </c>
      <c r="M27" s="46">
        <f t="shared" si="16"/>
        <v>43921</v>
      </c>
      <c r="N27" s="46">
        <f t="shared" si="16"/>
        <v>44286</v>
      </c>
      <c r="O27" s="46">
        <f t="shared" si="16"/>
        <v>44651</v>
      </c>
      <c r="P27" s="46">
        <f t="shared" si="16"/>
        <v>45016</v>
      </c>
      <c r="Q27" s="46">
        <f t="shared" si="16"/>
        <v>45382</v>
      </c>
      <c r="R27" s="46">
        <f t="shared" si="16"/>
        <v>45747</v>
      </c>
    </row>
    <row r="28" spans="1:23" s="26" customFormat="1" ht="12.95">
      <c r="A28" s="51"/>
      <c r="B28" s="48"/>
      <c r="C28" s="49"/>
      <c r="D28" s="38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26" customFormat="1" ht="12.95">
      <c r="A29" s="51"/>
      <c r="B29" s="48"/>
      <c r="C29" s="49"/>
      <c r="D29" s="38"/>
      <c r="E29" s="21" t="s">
        <v>148</v>
      </c>
      <c r="G29" s="26" t="s">
        <v>149</v>
      </c>
      <c r="I29" s="256"/>
      <c r="J29" s="257">
        <f xml:space="preserve"> IF(J28 = 1, $F25, IF(J27 &gt; (DATE(I29, $F26 + 1, 1) - 1), I29 + 1, I29))</f>
        <v>2017</v>
      </c>
      <c r="K29" s="257">
        <f t="shared" ref="K29:R29" si="18" xml:space="preserve"> IF(K28 = 1, $F25, IF(K27 &gt; (DATE(J29, $F26 + 1, 1) - 1), J29 + 1, J29))</f>
        <v>2018</v>
      </c>
      <c r="L29" s="257">
        <f t="shared" si="18"/>
        <v>2019</v>
      </c>
      <c r="M29" s="257">
        <f t="shared" si="18"/>
        <v>2020</v>
      </c>
      <c r="N29" s="257">
        <f t="shared" si="18"/>
        <v>2021</v>
      </c>
      <c r="O29" s="257">
        <f t="shared" si="18"/>
        <v>2022</v>
      </c>
      <c r="P29" s="257">
        <f t="shared" si="18"/>
        <v>2023</v>
      </c>
      <c r="Q29" s="257">
        <f t="shared" si="18"/>
        <v>2024</v>
      </c>
      <c r="R29" s="257">
        <f t="shared" si="18"/>
        <v>2025</v>
      </c>
    </row>
    <row r="30" spans="1:23" s="119" customFormat="1" ht="12.6"/>
    <row r="31" spans="1:23" s="8" customFormat="1" ht="12.95">
      <c r="A31" s="56" t="s">
        <v>150</v>
      </c>
      <c r="B31" s="53"/>
      <c r="C31" s="54"/>
      <c r="D31" s="57"/>
      <c r="E31" s="6"/>
    </row>
    <row r="32" spans="1:23" s="8" customFormat="1" ht="12.95">
      <c r="A32" s="56"/>
      <c r="B32" s="53"/>
      <c r="C32" s="54"/>
      <c r="D32" s="57"/>
      <c r="E32" s="6"/>
    </row>
    <row r="33" spans="1:81" s="40" customFormat="1" ht="12.95">
      <c r="A33" s="58"/>
      <c r="B33" s="59"/>
      <c r="C33" s="60"/>
      <c r="D33" s="61"/>
      <c r="E33" s="75" t="str">
        <f>InputsC!E15</f>
        <v>Last Pre Forecast Date</v>
      </c>
      <c r="F33" s="76">
        <f>InputsC!F15</f>
        <v>43921</v>
      </c>
      <c r="G33" s="76" t="str">
        <f>InputsC!G15</f>
        <v>date</v>
      </c>
    </row>
    <row r="34" spans="1:81" s="64" customFormat="1" ht="12.95">
      <c r="A34" s="56"/>
      <c r="B34" s="62"/>
      <c r="C34" s="63"/>
      <c r="D34" s="55"/>
      <c r="E34" s="64" t="str">
        <f xml:space="preserve"> E$21</f>
        <v>Model Period Ending</v>
      </c>
      <c r="F34" s="64">
        <f xml:space="preserve"> F$21</f>
        <v>0</v>
      </c>
      <c r="G34" s="64" t="str">
        <f t="shared" ref="G34:R34" si="19" xml:space="preserve"> G$21</f>
        <v>date</v>
      </c>
      <c r="H34" s="64">
        <f t="shared" si="19"/>
        <v>0</v>
      </c>
      <c r="I34" s="64">
        <f t="shared" si="19"/>
        <v>0</v>
      </c>
      <c r="J34" s="64">
        <f xml:space="preserve"> J$21</f>
        <v>42825</v>
      </c>
      <c r="K34" s="64">
        <f xml:space="preserve"> K$21</f>
        <v>43190</v>
      </c>
      <c r="L34" s="64">
        <f xml:space="preserve"> L$21</f>
        <v>43555</v>
      </c>
      <c r="M34" s="64">
        <f t="shared" si="19"/>
        <v>43921</v>
      </c>
      <c r="N34" s="64">
        <f t="shared" si="19"/>
        <v>44286</v>
      </c>
      <c r="O34" s="64">
        <f t="shared" si="19"/>
        <v>44651</v>
      </c>
      <c r="P34" s="64">
        <f t="shared" si="19"/>
        <v>45016</v>
      </c>
      <c r="Q34" s="64">
        <f t="shared" si="19"/>
        <v>45382</v>
      </c>
      <c r="R34" s="64">
        <f t="shared" si="19"/>
        <v>45747</v>
      </c>
    </row>
    <row r="35" spans="1:81" s="26" customFormat="1" ht="12.95">
      <c r="A35" s="35"/>
      <c r="B35" s="36"/>
      <c r="C35" s="37"/>
      <c r="D35" s="38"/>
      <c r="E35" s="21" t="s">
        <v>128</v>
      </c>
      <c r="G35" s="26" t="s">
        <v>141</v>
      </c>
      <c r="H35" s="26">
        <f xml:space="preserve"> SUM(L35:CC35)</f>
        <v>1</v>
      </c>
      <c r="J35" s="26">
        <f t="shared" ref="J35:K35" si="20" xml:space="preserve"> IF(J34 = $F33, 1, 0)</f>
        <v>0</v>
      </c>
      <c r="K35" s="26">
        <f t="shared" si="20"/>
        <v>0</v>
      </c>
      <c r="L35" s="26">
        <f t="shared" ref="L35:R35" si="21" xml:space="preserve"> IF(L34 = $F33, 1, 0)</f>
        <v>0</v>
      </c>
      <c r="M35" s="26">
        <f xml:space="preserve"> IF(M34 = $F33, 1, 0)</f>
        <v>1</v>
      </c>
      <c r="N35" s="26">
        <f t="shared" si="21"/>
        <v>0</v>
      </c>
      <c r="O35" s="26">
        <f t="shared" si="21"/>
        <v>0</v>
      </c>
      <c r="P35" s="26">
        <f t="shared" si="21"/>
        <v>0</v>
      </c>
      <c r="Q35" s="26">
        <f t="shared" si="21"/>
        <v>0</v>
      </c>
      <c r="R35" s="26">
        <f t="shared" si="21"/>
        <v>0</v>
      </c>
    </row>
    <row r="36" spans="1:81" s="26" customFormat="1" ht="12.95">
      <c r="A36" s="35"/>
      <c r="B36" s="36"/>
      <c r="C36" s="37"/>
      <c r="D36" s="38"/>
      <c r="E36" s="21" t="s">
        <v>151</v>
      </c>
      <c r="G36" s="26" t="s">
        <v>141</v>
      </c>
      <c r="H36" s="26">
        <f xml:space="preserve"> SUM(J36:CC36)</f>
        <v>4</v>
      </c>
      <c r="J36" s="26">
        <f t="shared" ref="J36:K36" si="22" xml:space="preserve"> IF($F33 &gt;= J34, 1, 0)</f>
        <v>1</v>
      </c>
      <c r="K36" s="26">
        <f t="shared" si="22"/>
        <v>1</v>
      </c>
      <c r="L36" s="26">
        <f t="shared" ref="L36:R36" si="23" xml:space="preserve"> IF($F33 &gt;= L34, 1, 0)</f>
        <v>1</v>
      </c>
      <c r="M36" s="26">
        <f t="shared" si="23"/>
        <v>1</v>
      </c>
      <c r="N36" s="26">
        <f t="shared" si="23"/>
        <v>0</v>
      </c>
      <c r="O36" s="26">
        <f t="shared" si="23"/>
        <v>0</v>
      </c>
      <c r="P36" s="26">
        <f t="shared" si="23"/>
        <v>0</v>
      </c>
      <c r="Q36" s="26">
        <f t="shared" si="23"/>
        <v>0</v>
      </c>
      <c r="R36" s="26">
        <f t="shared" si="23"/>
        <v>0</v>
      </c>
    </row>
    <row r="37" spans="1:81" s="25" customFormat="1" ht="12.95">
      <c r="A37" s="35"/>
      <c r="B37" s="48"/>
      <c r="C37" s="49"/>
      <c r="D37" s="50"/>
      <c r="E37" s="6" t="s">
        <v>152</v>
      </c>
      <c r="F37" s="65">
        <f xml:space="preserve"> SUM(J36:CC36)</f>
        <v>4</v>
      </c>
      <c r="G37" s="25" t="s">
        <v>139</v>
      </c>
    </row>
    <row r="38" spans="1:81" s="25" customFormat="1" ht="12.95">
      <c r="A38" s="35"/>
      <c r="B38" s="48"/>
      <c r="C38" s="49"/>
      <c r="D38" s="50"/>
      <c r="E38" s="6"/>
    </row>
    <row r="39" spans="1:81" s="25" customFormat="1" ht="12.95">
      <c r="A39" s="35" t="s">
        <v>153</v>
      </c>
      <c r="B39" s="48"/>
      <c r="C39" s="49"/>
      <c r="D39" s="50"/>
      <c r="E39" s="6"/>
    </row>
    <row r="40" spans="1:81" s="25" customFormat="1" ht="12.95">
      <c r="A40" s="35"/>
      <c r="B40" s="48"/>
      <c r="C40" s="49"/>
      <c r="D40" s="50"/>
      <c r="E40" s="6"/>
    </row>
    <row r="41" spans="1:81" s="26" customFormat="1" ht="12.95">
      <c r="A41" s="51"/>
      <c r="B41" s="48"/>
      <c r="C41" s="49"/>
      <c r="D41" s="38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35">
        <f t="shared" si="24"/>
        <v>1</v>
      </c>
      <c r="I41" s="135">
        <f t="shared" si="24"/>
        <v>0</v>
      </c>
      <c r="J41" s="135">
        <f t="shared" si="24"/>
        <v>0</v>
      </c>
      <c r="K41" s="135">
        <f t="shared" si="24"/>
        <v>0</v>
      </c>
      <c r="L41" s="135">
        <f t="shared" si="24"/>
        <v>0</v>
      </c>
      <c r="M41" s="135">
        <f xml:space="preserve"> M$35</f>
        <v>1</v>
      </c>
      <c r="N41" s="135">
        <f t="shared" si="24"/>
        <v>0</v>
      </c>
      <c r="O41" s="135">
        <f t="shared" si="24"/>
        <v>0</v>
      </c>
      <c r="P41" s="135">
        <f t="shared" si="24"/>
        <v>0</v>
      </c>
      <c r="Q41" s="135">
        <f t="shared" si="24"/>
        <v>0</v>
      </c>
      <c r="R41" s="135">
        <f t="shared" si="24"/>
        <v>0</v>
      </c>
      <c r="S41" s="21"/>
      <c r="T41" s="21"/>
      <c r="U41" s="21"/>
    </row>
    <row r="42" spans="1:81" s="26" customFormat="1" ht="12.95">
      <c r="A42" s="51"/>
      <c r="B42" s="48"/>
      <c r="C42" s="49"/>
      <c r="D42" s="38"/>
      <c r="E42" s="267" t="s">
        <v>154</v>
      </c>
      <c r="G42" s="26" t="s">
        <v>141</v>
      </c>
      <c r="H42" s="26">
        <f xml:space="preserve"> SUM(L42:CC42)</f>
        <v>1</v>
      </c>
      <c r="J42" s="26">
        <f xml:space="preserve"> I41</f>
        <v>0</v>
      </c>
      <c r="K42" s="26">
        <f t="shared" ref="K42:R42" si="25" xml:space="preserve"> J41</f>
        <v>0</v>
      </c>
      <c r="L42" s="26">
        <f t="shared" si="25"/>
        <v>0</v>
      </c>
      <c r="M42" s="26">
        <f t="shared" si="25"/>
        <v>0</v>
      </c>
      <c r="N42" s="26">
        <f t="shared" si="25"/>
        <v>1</v>
      </c>
      <c r="O42" s="26">
        <f t="shared" si="25"/>
        <v>0</v>
      </c>
      <c r="P42" s="26">
        <f t="shared" si="25"/>
        <v>0</v>
      </c>
      <c r="Q42" s="26">
        <f t="shared" si="25"/>
        <v>0</v>
      </c>
      <c r="R42" s="26">
        <f t="shared" si="25"/>
        <v>0</v>
      </c>
    </row>
    <row r="43" spans="1:81" s="26" customFormat="1" ht="12.95">
      <c r="A43" s="51"/>
      <c r="B43" s="48"/>
      <c r="C43" s="49"/>
      <c r="D43" s="38"/>
      <c r="E43" s="21"/>
    </row>
    <row r="44" spans="1:81" s="40" customFormat="1" ht="12.95">
      <c r="A44" s="58"/>
      <c r="B44" s="59"/>
      <c r="C44" s="60"/>
      <c r="D44" s="61"/>
      <c r="E44" s="75" t="str">
        <f>InputsC!E17</f>
        <v>Last Pre Forecast Flag</v>
      </c>
      <c r="F44" s="76">
        <f>InputsC!F17</f>
        <v>45747</v>
      </c>
      <c r="G44" s="76" t="str">
        <f>InputsC!G17</f>
        <v>date</v>
      </c>
    </row>
    <row r="45" spans="1:81" s="26" customFormat="1" ht="12.95">
      <c r="A45" s="51"/>
      <c r="B45" s="48"/>
      <c r="C45" s="49"/>
      <c r="D45" s="38"/>
      <c r="E45" s="66" t="str">
        <f xml:space="preserve"> E$21</f>
        <v>Model Period Ending</v>
      </c>
      <c r="F45" s="66">
        <f t="shared" ref="F45:R45" si="26" xml:space="preserve"> F$21</f>
        <v>0</v>
      </c>
      <c r="G45" s="66" t="str">
        <f t="shared" si="26"/>
        <v>date</v>
      </c>
      <c r="H45" s="66">
        <f t="shared" si="26"/>
        <v>0</v>
      </c>
      <c r="I45" s="66">
        <f t="shared" si="26"/>
        <v>0</v>
      </c>
      <c r="J45" s="64">
        <f t="shared" si="26"/>
        <v>42825</v>
      </c>
      <c r="K45" s="64">
        <f t="shared" si="26"/>
        <v>43190</v>
      </c>
      <c r="L45" s="64">
        <f t="shared" si="26"/>
        <v>43555</v>
      </c>
      <c r="M45" s="64">
        <f t="shared" si="26"/>
        <v>43921</v>
      </c>
      <c r="N45" s="64">
        <f t="shared" si="26"/>
        <v>44286</v>
      </c>
      <c r="O45" s="64">
        <f t="shared" si="26"/>
        <v>44651</v>
      </c>
      <c r="P45" s="64">
        <f t="shared" si="26"/>
        <v>45016</v>
      </c>
      <c r="Q45" s="64">
        <f t="shared" si="26"/>
        <v>45382</v>
      </c>
      <c r="R45" s="64">
        <f t="shared" si="26"/>
        <v>45747</v>
      </c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s="26" customFormat="1" ht="12.95">
      <c r="A46" s="51"/>
      <c r="B46" s="48"/>
      <c r="C46" s="49"/>
      <c r="D46" s="38"/>
      <c r="E46" s="47" t="s">
        <v>155</v>
      </c>
      <c r="G46" s="26" t="s">
        <v>141</v>
      </c>
      <c r="H46" s="26">
        <f xml:space="preserve"> SUM(L46:CC46)</f>
        <v>1</v>
      </c>
      <c r="J46" s="26">
        <f xml:space="preserve"> IF(AND($F44 &gt; I45, $F44 &lt;= J45), 1, 0)</f>
        <v>0</v>
      </c>
      <c r="K46" s="26">
        <f t="shared" ref="K46:R46" si="27" xml:space="preserve"> IF(AND($F44 &gt; J45, $F44 &lt;= K45), 1, 0)</f>
        <v>0</v>
      </c>
      <c r="L46" s="26">
        <f t="shared" si="27"/>
        <v>0</v>
      </c>
      <c r="M46" s="26">
        <f t="shared" si="27"/>
        <v>0</v>
      </c>
      <c r="N46" s="26">
        <f t="shared" si="27"/>
        <v>0</v>
      </c>
      <c r="O46" s="26">
        <f t="shared" si="27"/>
        <v>0</v>
      </c>
      <c r="P46" s="26">
        <f t="shared" si="27"/>
        <v>0</v>
      </c>
      <c r="Q46" s="26">
        <f t="shared" si="27"/>
        <v>0</v>
      </c>
      <c r="R46" s="26">
        <f t="shared" si="27"/>
        <v>1</v>
      </c>
    </row>
    <row r="47" spans="1:81" s="26" customFormat="1" ht="12.95">
      <c r="A47" s="51"/>
      <c r="B47" s="48"/>
      <c r="C47" s="49"/>
      <c r="D47" s="38"/>
      <c r="E47" s="6"/>
    </row>
    <row r="48" spans="1:81" s="26" customFormat="1" ht="12.95">
      <c r="A48" s="51"/>
      <c r="B48" s="48"/>
      <c r="C48" s="49"/>
      <c r="D48" s="38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26" customFormat="1" ht="12.95">
      <c r="A49" s="51"/>
      <c r="B49" s="48"/>
      <c r="C49" s="49"/>
      <c r="D49" s="38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68" customFormat="1" ht="12.95">
      <c r="A50" s="51"/>
      <c r="B50" s="48"/>
      <c r="C50" s="49"/>
      <c r="D50" s="38"/>
      <c r="E50" s="47" t="s">
        <v>156</v>
      </c>
      <c r="G50" s="68" t="s">
        <v>141</v>
      </c>
      <c r="H50" s="68">
        <f xml:space="preserve"> SUM(L50:CC50)</f>
        <v>5</v>
      </c>
      <c r="I50" s="69"/>
      <c r="J50" s="68">
        <f xml:space="preserve"> J48 - I49 + I50</f>
        <v>0</v>
      </c>
      <c r="K50" s="68">
        <f t="shared" ref="K50:R50" si="30" xml:space="preserve"> K48 - J49 + J50</f>
        <v>0</v>
      </c>
      <c r="L50" s="68">
        <f t="shared" si="30"/>
        <v>0</v>
      </c>
      <c r="M50" s="68">
        <f t="shared" si="30"/>
        <v>0</v>
      </c>
      <c r="N50" s="68">
        <f t="shared" si="30"/>
        <v>1</v>
      </c>
      <c r="O50" s="68">
        <f t="shared" si="30"/>
        <v>1</v>
      </c>
      <c r="P50" s="68">
        <f t="shared" si="30"/>
        <v>1</v>
      </c>
      <c r="Q50" s="68">
        <f t="shared" si="30"/>
        <v>1</v>
      </c>
      <c r="R50" s="68">
        <f t="shared" si="30"/>
        <v>1</v>
      </c>
    </row>
    <row r="51" spans="1:81" s="25" customFormat="1" ht="12.95">
      <c r="A51" s="35"/>
      <c r="B51" s="48"/>
      <c r="C51" s="49"/>
      <c r="D51" s="50"/>
      <c r="E51" s="6" t="s">
        <v>157</v>
      </c>
      <c r="F51" s="25">
        <f xml:space="preserve"> SUM(L50:CC50)</f>
        <v>5</v>
      </c>
      <c r="G51" s="25" t="s">
        <v>139</v>
      </c>
    </row>
    <row r="52" spans="1:81" s="25" customFormat="1" ht="12.95">
      <c r="A52" s="35"/>
      <c r="B52" s="48"/>
      <c r="C52" s="49"/>
      <c r="D52" s="50"/>
      <c r="E52" s="6"/>
    </row>
    <row r="53" spans="1:81" s="25" customFormat="1" ht="12.95">
      <c r="A53" s="35"/>
      <c r="B53" s="48"/>
      <c r="C53" s="49"/>
      <c r="D53" s="50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34">
        <f t="shared" si="31"/>
        <v>4</v>
      </c>
      <c r="I53" s="134">
        <f t="shared" si="31"/>
        <v>0</v>
      </c>
      <c r="J53" s="134">
        <f t="shared" si="31"/>
        <v>1</v>
      </c>
      <c r="K53" s="134">
        <f t="shared" si="31"/>
        <v>1</v>
      </c>
      <c r="L53" s="134">
        <f t="shared" si="31"/>
        <v>1</v>
      </c>
      <c r="M53" s="134">
        <f t="shared" si="31"/>
        <v>1</v>
      </c>
      <c r="N53" s="134">
        <f t="shared" si="31"/>
        <v>0</v>
      </c>
      <c r="O53" s="134">
        <f t="shared" si="31"/>
        <v>0</v>
      </c>
      <c r="P53" s="134">
        <f t="shared" si="31"/>
        <v>0</v>
      </c>
      <c r="Q53" s="134">
        <f t="shared" si="31"/>
        <v>0</v>
      </c>
      <c r="R53" s="134">
        <f t="shared" si="31"/>
        <v>0</v>
      </c>
    </row>
    <row r="54" spans="1:81" s="25" customFormat="1" ht="12.95">
      <c r="A54" s="35"/>
      <c r="B54" s="48"/>
      <c r="C54" s="49"/>
      <c r="D54" s="50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34">
        <f t="shared" si="32"/>
        <v>5</v>
      </c>
      <c r="I54" s="134">
        <f t="shared" si="32"/>
        <v>0</v>
      </c>
      <c r="J54" s="134">
        <f t="shared" si="32"/>
        <v>0</v>
      </c>
      <c r="K54" s="134">
        <f t="shared" si="32"/>
        <v>0</v>
      </c>
      <c r="L54" s="134">
        <f t="shared" si="32"/>
        <v>0</v>
      </c>
      <c r="M54" s="134">
        <f t="shared" si="32"/>
        <v>0</v>
      </c>
      <c r="N54" s="134">
        <f t="shared" si="32"/>
        <v>1</v>
      </c>
      <c r="O54" s="134">
        <f t="shared" si="32"/>
        <v>1</v>
      </c>
      <c r="P54" s="134">
        <f t="shared" si="32"/>
        <v>1</v>
      </c>
      <c r="Q54" s="134">
        <f t="shared" si="32"/>
        <v>1</v>
      </c>
      <c r="R54" s="134">
        <f t="shared" si="32"/>
        <v>1</v>
      </c>
    </row>
    <row r="55" spans="1:81" s="25" customFormat="1" ht="12.95">
      <c r="A55" s="35"/>
      <c r="B55" s="48"/>
      <c r="C55" s="49"/>
      <c r="D55" s="50"/>
      <c r="E55" s="47" t="s">
        <v>158</v>
      </c>
      <c r="F55" s="186"/>
      <c r="G55" s="186" t="s">
        <v>141</v>
      </c>
      <c r="H55" s="186"/>
      <c r="I55" s="186"/>
      <c r="J55" s="186" t="str">
        <f t="shared" ref="J55:K55" si="33" xml:space="preserve"> IF(J53 = 1, "Pre Fcst", IF(J54 = 1, "Forecast", "Post-Fcst"))</f>
        <v>Pre Fcst</v>
      </c>
      <c r="K55" s="186" t="str">
        <f t="shared" si="33"/>
        <v>Pre Fcst</v>
      </c>
      <c r="L55" s="186" t="str">
        <f t="shared" ref="L55:R55" si="34" xml:space="preserve"> IF(L53 = 1, "Pre Fcst", IF(L54 = 1, "Forecast", "Post-Fcst"))</f>
        <v>Pre Fcst</v>
      </c>
      <c r="M55" s="186" t="str">
        <f t="shared" si="34"/>
        <v>Pre Fcst</v>
      </c>
      <c r="N55" s="186" t="str">
        <f t="shared" si="34"/>
        <v>Forecast</v>
      </c>
      <c r="O55" s="186" t="str">
        <f t="shared" si="34"/>
        <v>Forecast</v>
      </c>
      <c r="P55" s="186" t="str">
        <f t="shared" si="34"/>
        <v>Forecast</v>
      </c>
      <c r="Q55" s="186" t="str">
        <f t="shared" si="34"/>
        <v>Forecast</v>
      </c>
      <c r="R55" s="186" t="str">
        <f t="shared" si="34"/>
        <v>Forecast</v>
      </c>
    </row>
    <row r="56" spans="1:81" s="25" customFormat="1" ht="12.95">
      <c r="A56" s="35"/>
      <c r="B56" s="48"/>
      <c r="C56" s="49"/>
      <c r="D56" s="50"/>
      <c r="E56" s="47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</row>
    <row r="57" spans="1:81" s="25" customFormat="1" ht="12.95">
      <c r="A57" s="35"/>
      <c r="B57" s="48"/>
      <c r="C57" s="49"/>
      <c r="D57" s="50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34">
        <f t="shared" si="35"/>
        <v>4</v>
      </c>
      <c r="I57" s="134">
        <f t="shared" si="35"/>
        <v>0</v>
      </c>
      <c r="J57" s="134">
        <f t="shared" si="35"/>
        <v>1</v>
      </c>
      <c r="K57" s="134">
        <f t="shared" si="35"/>
        <v>1</v>
      </c>
      <c r="L57" s="134">
        <f t="shared" si="35"/>
        <v>1</v>
      </c>
      <c r="M57" s="134">
        <f t="shared" si="35"/>
        <v>1</v>
      </c>
      <c r="N57" s="134">
        <f t="shared" si="35"/>
        <v>0</v>
      </c>
      <c r="O57" s="134">
        <f t="shared" si="35"/>
        <v>0</v>
      </c>
      <c r="P57" s="134">
        <f t="shared" si="35"/>
        <v>0</v>
      </c>
      <c r="Q57" s="134">
        <f t="shared" si="35"/>
        <v>0</v>
      </c>
      <c r="R57" s="134">
        <f t="shared" si="35"/>
        <v>0</v>
      </c>
    </row>
    <row r="58" spans="1:81" s="25" customFormat="1" ht="12.95">
      <c r="A58" s="35"/>
      <c r="B58" s="48"/>
      <c r="C58" s="49"/>
      <c r="D58" s="50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34">
        <f t="shared" si="36"/>
        <v>5</v>
      </c>
      <c r="I58" s="134">
        <f t="shared" si="36"/>
        <v>0</v>
      </c>
      <c r="J58" s="134">
        <f t="shared" si="36"/>
        <v>0</v>
      </c>
      <c r="K58" s="134">
        <f t="shared" si="36"/>
        <v>0</v>
      </c>
      <c r="L58" s="134">
        <f t="shared" si="36"/>
        <v>0</v>
      </c>
      <c r="M58" s="134">
        <f t="shared" si="36"/>
        <v>0</v>
      </c>
      <c r="N58" s="134">
        <f t="shared" si="36"/>
        <v>1</v>
      </c>
      <c r="O58" s="134">
        <f t="shared" si="36"/>
        <v>1</v>
      </c>
      <c r="P58" s="134">
        <f t="shared" si="36"/>
        <v>1</v>
      </c>
      <c r="Q58" s="134">
        <f t="shared" si="36"/>
        <v>1</v>
      </c>
      <c r="R58" s="134">
        <f t="shared" si="36"/>
        <v>1</v>
      </c>
    </row>
    <row r="59" spans="1:81" s="68" customFormat="1" ht="12.95">
      <c r="A59" s="263"/>
      <c r="B59" s="264"/>
      <c r="C59" s="265"/>
      <c r="D59" s="266"/>
      <c r="E59" s="267" t="s">
        <v>159</v>
      </c>
      <c r="F59" s="267"/>
      <c r="G59" s="267" t="s">
        <v>137</v>
      </c>
      <c r="H59" s="267"/>
      <c r="I59" s="267"/>
      <c r="J59" s="268">
        <f xml:space="preserve"> IF( J53 = 1,  J58, I59 + J58 )</f>
        <v>0</v>
      </c>
      <c r="K59" s="268">
        <f t="shared" ref="K59:R59" si="37" xml:space="preserve"> IF( K53 = 1,  K58, J59 + K58 )</f>
        <v>0</v>
      </c>
      <c r="L59" s="268">
        <f t="shared" si="37"/>
        <v>0</v>
      </c>
      <c r="M59" s="268">
        <f t="shared" si="37"/>
        <v>0</v>
      </c>
      <c r="N59" s="268">
        <f t="shared" si="37"/>
        <v>1</v>
      </c>
      <c r="O59" s="268">
        <f t="shared" si="37"/>
        <v>2</v>
      </c>
      <c r="P59" s="268">
        <f t="shared" si="37"/>
        <v>3</v>
      </c>
      <c r="Q59" s="268">
        <f t="shared" si="37"/>
        <v>4</v>
      </c>
      <c r="R59" s="268">
        <f t="shared" si="37"/>
        <v>5</v>
      </c>
    </row>
    <row r="60" spans="1:81" s="25" customFormat="1" ht="12.95">
      <c r="A60" s="35"/>
      <c r="B60" s="48"/>
      <c r="C60" s="49"/>
      <c r="D60" s="50"/>
      <c r="E60" s="47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</row>
    <row r="61" spans="1:81" s="117" customFormat="1" ht="12.95">
      <c r="A61" s="35" t="s">
        <v>160</v>
      </c>
    </row>
    <row r="62" spans="1:81" s="117" customFormat="1" ht="12.6"/>
    <row r="63" spans="1:81" s="117" customFormat="1" ht="12.95">
      <c r="B63" s="122"/>
      <c r="C63" s="123"/>
      <c r="D63" s="124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17" customFormat="1" ht="12.95">
      <c r="B64" s="122"/>
      <c r="C64" s="123"/>
      <c r="D64" s="124" t="s">
        <v>161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17" customFormat="1" ht="12.95">
      <c r="B65" s="122"/>
      <c r="C65" s="123"/>
      <c r="D65" s="124" t="s">
        <v>161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17" customFormat="1" ht="12.95">
      <c r="B66" s="122"/>
      <c r="C66" s="123"/>
      <c r="D66" s="125"/>
      <c r="E66" s="5" t="s">
        <v>162</v>
      </c>
      <c r="F66" s="121">
        <f xml:space="preserve"> IF(F63 - SUM(F64:F65) &lt;&gt; 0, 1, 0)</f>
        <v>0</v>
      </c>
      <c r="G66" s="126" t="s">
        <v>163</v>
      </c>
    </row>
    <row r="67" spans="1:7" s="117" customFormat="1">
      <c r="B67" s="122"/>
      <c r="C67" s="123"/>
      <c r="D67" s="125"/>
      <c r="E67" s="5"/>
      <c r="F67"/>
      <c r="G67" s="126"/>
    </row>
    <row r="68" spans="1:7" s="136" customFormat="1" ht="12.95">
      <c r="A68" s="127" t="s">
        <v>82</v>
      </c>
    </row>
    <row r="69" spans="1:7" s="117" customFormat="1" ht="12.6"/>
    <row r="70" spans="1:7" s="117" customFormat="1" ht="12.6" hidden="1"/>
    <row r="71" spans="1:7" s="117" customFormat="1" ht="12.6" hidden="1"/>
    <row r="72" spans="1:7" s="117" customFormat="1" ht="12.6" hidden="1"/>
    <row r="73" spans="1:7" s="117" customFormat="1" ht="12.6" hidden="1"/>
    <row r="74" spans="1:7" s="117" customFormat="1" ht="12.6" hidden="1"/>
    <row r="75" spans="1:7" s="117" customFormat="1" ht="12.6" hidden="1"/>
    <row r="76" spans="1:7" s="117" customFormat="1" ht="12.6" hidden="1"/>
    <row r="77" spans="1:7" s="117" customFormat="1" ht="12.6" hidden="1"/>
    <row r="78" spans="1:7" s="117" customFormat="1" ht="12.6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F66">
    <cfRule type="cellIs" dxfId="12" priority="15" stopIfTrue="1" operator="notEqual">
      <formula>0</formula>
    </cfRule>
    <cfRule type="cellIs" dxfId="11" priority="16" stopIfTrue="1" operator="equal">
      <formula>""</formula>
    </cfRule>
  </conditionalFormatting>
  <conditionalFormatting sqref="J3:R3">
    <cfRule type="cellIs" dxfId="10" priority="1" operator="equal">
      <formula>"Post-Fcst"</formula>
    </cfRule>
    <cfRule type="cellIs" dxfId="9" priority="2" operator="equal">
      <formula>"Forecast"</formula>
    </cfRule>
    <cfRule type="cellIs" dxfId="8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115" zoomScaleNormal="115" workbookViewId="0">
      <pane xSplit="9" ySplit="5" topLeftCell="J6" activePane="bottomRight" state="frozen"/>
      <selection pane="bottomRight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62.140625" bestFit="1" customWidth="1"/>
    <col min="6" max="6" width="12.42578125" customWidth="1"/>
    <col min="7" max="8" width="11.140625" customWidth="1"/>
    <col min="9" max="9" width="1.42578125" customWidth="1"/>
    <col min="10" max="17" width="11.85546875" customWidth="1"/>
    <col min="18" max="18" width="12" customWidth="1"/>
    <col min="19" max="16384" width="8.7109375" hidden="1"/>
  </cols>
  <sheetData>
    <row r="1" spans="1:21" s="71" customFormat="1" ht="24.95">
      <c r="A1" s="70" t="e">
        <f ca="1" xml:space="preserve"> RIGHT(CELL("FILENAME", $A$1), LEN(CELL("FILENAME", $A$1)) - SEARCH("]", CELL("FILENAME", $A$1)))</f>
        <v>#VALUE!</v>
      </c>
      <c r="C1" s="72"/>
      <c r="E1" s="73"/>
    </row>
    <row r="2" spans="1:21" s="137" customFormat="1">
      <c r="A2" s="138"/>
      <c r="B2" s="138"/>
      <c r="C2" s="139"/>
      <c r="D2" s="140"/>
      <c r="E2" s="141" t="s">
        <v>164</v>
      </c>
      <c r="F2"/>
      <c r="G2"/>
      <c r="H2" s="141"/>
      <c r="I2" s="140"/>
      <c r="J2" s="142">
        <f xml:space="preserve"> Time!J$21</f>
        <v>42825</v>
      </c>
      <c r="K2" s="142">
        <f xml:space="preserve"> Time!K$21</f>
        <v>43190</v>
      </c>
      <c r="L2" s="142">
        <f xml:space="preserve"> Time!L$21</f>
        <v>43555</v>
      </c>
      <c r="M2" s="142">
        <f xml:space="preserve"> Time!M$21</f>
        <v>43921</v>
      </c>
      <c r="N2" s="142">
        <f xml:space="preserve"> Time!N$21</f>
        <v>44286</v>
      </c>
      <c r="O2" s="142">
        <f xml:space="preserve"> Time!O$21</f>
        <v>44651</v>
      </c>
      <c r="P2" s="142">
        <f xml:space="preserve"> Time!P$21</f>
        <v>45016</v>
      </c>
      <c r="Q2" s="142">
        <f xml:space="preserve"> Time!Q$21</f>
        <v>45382</v>
      </c>
      <c r="R2" s="142">
        <f xml:space="preserve"> Time!R$21</f>
        <v>45747</v>
      </c>
      <c r="S2"/>
      <c r="T2"/>
      <c r="U2"/>
    </row>
    <row r="3" spans="1:21" s="137" customFormat="1">
      <c r="A3" s="138"/>
      <c r="B3" s="138"/>
      <c r="C3" s="139"/>
      <c r="D3" s="140"/>
      <c r="E3" s="141" t="s">
        <v>165</v>
      </c>
      <c r="F3"/>
      <c r="G3"/>
      <c r="H3" s="141"/>
      <c r="I3" s="140"/>
      <c r="J3" s="143" t="str">
        <f xml:space="preserve"> Time!J55</f>
        <v>Pre Fcst</v>
      </c>
      <c r="K3" s="143" t="str">
        <f xml:space="preserve"> Time!K55</f>
        <v>Pre Fcst</v>
      </c>
      <c r="L3" s="143" t="str">
        <f xml:space="preserve"> Time!L55</f>
        <v>Pre Fcst</v>
      </c>
      <c r="M3" s="143" t="str">
        <f xml:space="preserve"> Time!M55</f>
        <v>Pre Fcst</v>
      </c>
      <c r="N3" s="81" t="str">
        <f xml:space="preserve"> Time!N55</f>
        <v>Forecast</v>
      </c>
      <c r="O3" s="81" t="str">
        <f xml:space="preserve"> Time!O55</f>
        <v>Forecast</v>
      </c>
      <c r="P3" s="81" t="str">
        <f xml:space="preserve"> Time!P55</f>
        <v>Forecast</v>
      </c>
      <c r="Q3" s="81" t="str">
        <f xml:space="preserve"> Time!Q55</f>
        <v>Forecast</v>
      </c>
      <c r="R3" s="81" t="str">
        <f xml:space="preserve"> Time!R55</f>
        <v>Forecast</v>
      </c>
      <c r="S3"/>
      <c r="T3"/>
      <c r="U3"/>
    </row>
    <row r="4" spans="1:21" s="137" customFormat="1">
      <c r="A4" s="138"/>
      <c r="B4" s="138"/>
      <c r="C4" s="139"/>
      <c r="D4" s="140"/>
      <c r="E4" s="140" t="s">
        <v>166</v>
      </c>
      <c r="F4" s="144"/>
      <c r="G4" s="144"/>
      <c r="H4" s="141"/>
      <c r="I4" s="140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  <c r="S4"/>
      <c r="T4"/>
      <c r="U4"/>
    </row>
    <row r="5" spans="1:21" s="137" customFormat="1">
      <c r="A5" s="138"/>
      <c r="B5" s="138"/>
      <c r="C5" s="139"/>
      <c r="D5" s="140"/>
      <c r="E5" s="140" t="s">
        <v>136</v>
      </c>
      <c r="F5" s="146" t="s">
        <v>96</v>
      </c>
      <c r="G5" s="147" t="s">
        <v>97</v>
      </c>
      <c r="H5" s="146" t="s">
        <v>98</v>
      </c>
      <c r="I5" s="140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  <c r="S5"/>
      <c r="T5"/>
      <c r="U5"/>
    </row>
    <row r="6" spans="1:21">
      <c r="A6" s="83"/>
      <c r="B6" s="83"/>
      <c r="C6" s="84"/>
      <c r="D6" s="27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</row>
    <row r="7" spans="1:21" s="168" customFormat="1" ht="15" customHeight="1">
      <c r="A7" s="176" t="s">
        <v>167</v>
      </c>
      <c r="B7" s="176"/>
      <c r="C7" s="17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/>
      <c r="T7"/>
      <c r="U7"/>
    </row>
    <row r="8" spans="1:21">
      <c r="A8" s="83"/>
      <c r="B8" s="83"/>
      <c r="C8" s="84"/>
      <c r="D8" s="2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21">
      <c r="A9" s="83"/>
      <c r="B9" s="83" t="s">
        <v>168</v>
      </c>
      <c r="C9" s="84"/>
      <c r="D9" s="170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21">
      <c r="A10" s="83"/>
      <c r="B10" s="83"/>
      <c r="C10" s="84"/>
      <c r="D10" s="170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21" s="182" customFormat="1">
      <c r="A11" s="179"/>
      <c r="B11" s="179"/>
      <c r="C11" s="180"/>
      <c r="D11" s="181"/>
      <c r="E11" s="169" t="str">
        <f xml:space="preserve"> InputsR!E$35</f>
        <v>Base Consumer price index (including housing costs) for November 2016</v>
      </c>
      <c r="F11" s="169">
        <f xml:space="preserve"> InputsR!F$35</f>
        <v>101.8</v>
      </c>
      <c r="G11" s="169" t="str">
        <f xml:space="preserve"> InputsR!G$35</f>
        <v>index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/>
      <c r="T11"/>
      <c r="U11"/>
    </row>
    <row r="12" spans="1:21" s="182" customFormat="1">
      <c r="A12" s="179"/>
      <c r="B12" s="179"/>
      <c r="C12" s="180"/>
      <c r="D12" s="181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/>
      <c r="T12"/>
      <c r="U12"/>
    </row>
    <row r="13" spans="1:21">
      <c r="A13" s="83"/>
      <c r="B13" s="83"/>
      <c r="C13" s="84"/>
      <c r="D13" s="27"/>
      <c r="E13" s="169" t="str">
        <f xml:space="preserve"> InputsR!E$33</f>
        <v>Consumer price index (including housing costs) for November</v>
      </c>
      <c r="F13" s="169">
        <f xml:space="preserve"> InputsR!F$33</f>
        <v>0</v>
      </c>
      <c r="G13" s="169" t="str">
        <f xml:space="preserve"> InputsR!G$33</f>
        <v>index</v>
      </c>
      <c r="H13" s="169">
        <f xml:space="preserve"> InputsR!H$33</f>
        <v>0</v>
      </c>
      <c r="I13" s="169">
        <f xml:space="preserve"> InputsR!I$33</f>
        <v>0</v>
      </c>
      <c r="J13" s="169">
        <f xml:space="preserve"> InputsR!J$33</f>
        <v>101.8</v>
      </c>
      <c r="K13" s="169">
        <f xml:space="preserve"> InputsR!K$33</f>
        <v>104.7</v>
      </c>
      <c r="L13" s="169">
        <f xml:space="preserve"> InputsR!L$33</f>
        <v>106.9</v>
      </c>
      <c r="M13" s="169">
        <f xml:space="preserve"> InputsR!M$33</f>
        <v>108.5</v>
      </c>
      <c r="N13" s="169">
        <f xml:space="preserve"> InputsR!N$33</f>
        <v>109.1</v>
      </c>
      <c r="O13" s="169">
        <f xml:space="preserve"> InputsR!O$33</f>
        <v>114.1</v>
      </c>
      <c r="P13" s="169">
        <f xml:space="preserve"> InputsR!P$33</f>
        <v>124.8</v>
      </c>
      <c r="Q13" s="169">
        <f xml:space="preserve"> InputsR!Q$33</f>
        <v>130</v>
      </c>
      <c r="R13" s="169">
        <f xml:space="preserve"> InputsR!R$33</f>
        <v>133.5</v>
      </c>
    </row>
    <row r="14" spans="1:21">
      <c r="A14" s="83"/>
      <c r="B14" s="83"/>
      <c r="C14" s="84"/>
      <c r="D14" s="27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21">
      <c r="A15" s="83"/>
      <c r="B15" s="83"/>
      <c r="C15" s="84"/>
      <c r="D15" s="27"/>
      <c r="E15" s="169" t="str">
        <f xml:space="preserve"> InputsR!E$37</f>
        <v>CPIH Nov-Nov % change - Base case</v>
      </c>
      <c r="F15" s="193">
        <f xml:space="preserve"> InputsR!F$37</f>
        <v>0.02</v>
      </c>
      <c r="G15" s="193">
        <f xml:space="preserve"> InputsR!G$37</f>
        <v>0</v>
      </c>
      <c r="H15" s="193">
        <f xml:space="preserve"> InputsR!H$37</f>
        <v>0</v>
      </c>
      <c r="I15" s="193">
        <f xml:space="preserve"> InputsR!I$37</f>
        <v>0</v>
      </c>
      <c r="J15" s="193">
        <f xml:space="preserve"> InputsR!J$37</f>
        <v>0</v>
      </c>
      <c r="K15" s="193">
        <f xml:space="preserve"> InputsR!K$37</f>
        <v>0</v>
      </c>
      <c r="L15" s="193">
        <f xml:space="preserve"> InputsR!L$37</f>
        <v>0</v>
      </c>
      <c r="M15" s="193">
        <f xml:space="preserve"> InputsR!M$37</f>
        <v>0</v>
      </c>
      <c r="N15" s="193">
        <f xml:space="preserve"> InputsR!N$37</f>
        <v>0</v>
      </c>
      <c r="O15" s="193">
        <f xml:space="preserve"> InputsR!O$37</f>
        <v>0</v>
      </c>
      <c r="P15" s="193">
        <f xml:space="preserve"> InputsR!P$37</f>
        <v>0</v>
      </c>
      <c r="Q15" s="193">
        <f xml:space="preserve"> InputsR!Q$37</f>
        <v>0</v>
      </c>
      <c r="R15" s="193">
        <f xml:space="preserve"> InputsR!R$37</f>
        <v>0</v>
      </c>
    </row>
    <row r="16" spans="1:21">
      <c r="A16" s="83"/>
      <c r="B16" s="83"/>
      <c r="C16" s="84"/>
      <c r="D16" s="27"/>
      <c r="E16" s="169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21">
      <c r="A17" s="83"/>
      <c r="B17" s="83"/>
      <c r="C17" s="84"/>
      <c r="D17" s="27"/>
      <c r="E17" s="117" t="s">
        <v>169</v>
      </c>
      <c r="F17" s="117"/>
      <c r="G17" s="117" t="s">
        <v>117</v>
      </c>
      <c r="H17" s="117"/>
      <c r="I17" s="136"/>
      <c r="J17" s="259">
        <f xml:space="preserve"> IF( J13 &gt; 0, J13, I17 * (1 + $F$15))</f>
        <v>101.8</v>
      </c>
      <c r="K17" s="259">
        <f t="shared" ref="K17:R17" si="0" xml:space="preserve"> IF( K13 &gt; 0, K13, J17 * (1 + $F$15))</f>
        <v>104.7</v>
      </c>
      <c r="L17" s="259">
        <f t="shared" si="0"/>
        <v>106.9</v>
      </c>
      <c r="M17" s="259">
        <f xml:space="preserve"> IF( M13 &gt; 0, M13, L17 * (1 + $F$15))</f>
        <v>108.5</v>
      </c>
      <c r="N17" s="259">
        <f t="shared" si="0"/>
        <v>109.1</v>
      </c>
      <c r="O17" s="259">
        <f t="shared" si="0"/>
        <v>114.1</v>
      </c>
      <c r="P17" s="259">
        <f t="shared" si="0"/>
        <v>124.8</v>
      </c>
      <c r="Q17" s="259">
        <f t="shared" si="0"/>
        <v>130</v>
      </c>
      <c r="R17" s="259">
        <f t="shared" si="0"/>
        <v>133.5</v>
      </c>
    </row>
    <row r="18" spans="1:21" ht="12.75" customHeight="1">
      <c r="A18" s="83"/>
      <c r="B18" s="83"/>
      <c r="C18" s="84"/>
      <c r="D18" s="27"/>
      <c r="E18" s="27"/>
      <c r="F18" s="27"/>
      <c r="G18" s="27"/>
      <c r="H18" s="27"/>
      <c r="I18" s="27"/>
      <c r="J18" s="27"/>
      <c r="K18" s="174"/>
      <c r="L18" s="174"/>
      <c r="M18" s="174"/>
      <c r="N18" s="174"/>
      <c r="O18" s="174"/>
      <c r="P18" s="174"/>
      <c r="Q18" s="174"/>
      <c r="R18" s="174"/>
    </row>
    <row r="19" spans="1:21" s="299" customFormat="1">
      <c r="A19" s="103"/>
      <c r="B19" s="103" t="s">
        <v>170</v>
      </c>
      <c r="C19" s="104"/>
      <c r="D19" s="126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21">
      <c r="A20" s="83"/>
      <c r="B20" s="83"/>
      <c r="C20" s="84"/>
      <c r="D20" s="2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1:21">
      <c r="A21" s="83"/>
      <c r="B21" s="83"/>
      <c r="C21" s="84"/>
      <c r="D21" s="170"/>
      <c r="E21" s="169" t="str">
        <f xml:space="preserve"> E$11</f>
        <v>Base Consumer price index (including housing costs) for November 2016</v>
      </c>
      <c r="F21" s="169">
        <f xml:space="preserve"> F$11</f>
        <v>101.8</v>
      </c>
      <c r="G21" s="169" t="str">
        <f xml:space="preserve"> G$11</f>
        <v>index</v>
      </c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21">
      <c r="A22" s="83"/>
      <c r="B22" s="83"/>
      <c r="C22" s="84"/>
      <c r="D22" s="27"/>
      <c r="E22" s="260" t="str">
        <f xml:space="preserve"> E$17</f>
        <v>CPIH: November - index</v>
      </c>
      <c r="F22" s="260">
        <f t="shared" ref="F22:R22" si="1" xml:space="preserve"> F$17</f>
        <v>0</v>
      </c>
      <c r="G22" s="260" t="str">
        <f t="shared" si="1"/>
        <v>index</v>
      </c>
      <c r="H22" s="260">
        <f t="shared" si="1"/>
        <v>0</v>
      </c>
      <c r="I22" s="260">
        <f t="shared" si="1"/>
        <v>0</v>
      </c>
      <c r="J22" s="260">
        <f xml:space="preserve"> J$17</f>
        <v>101.8</v>
      </c>
      <c r="K22" s="260">
        <f t="shared" si="1"/>
        <v>104.7</v>
      </c>
      <c r="L22" s="260">
        <f t="shared" si="1"/>
        <v>106.9</v>
      </c>
      <c r="M22" s="260">
        <f t="shared" si="1"/>
        <v>108.5</v>
      </c>
      <c r="N22" s="260">
        <f t="shared" si="1"/>
        <v>109.1</v>
      </c>
      <c r="O22" s="260">
        <f t="shared" si="1"/>
        <v>114.1</v>
      </c>
      <c r="P22" s="260">
        <f t="shared" si="1"/>
        <v>124.8</v>
      </c>
      <c r="Q22" s="260">
        <f t="shared" si="1"/>
        <v>130</v>
      </c>
      <c r="R22" s="260">
        <f t="shared" si="1"/>
        <v>133.5</v>
      </c>
    </row>
    <row r="23" spans="1:21" s="150" customFormat="1">
      <c r="A23" s="184"/>
      <c r="B23" s="184"/>
      <c r="C23" s="185"/>
      <c r="E23" s="183" t="s">
        <v>171</v>
      </c>
      <c r="F23" s="183"/>
      <c r="G23" s="183" t="s">
        <v>111</v>
      </c>
      <c r="H23" s="183"/>
      <c r="I23" s="183"/>
      <c r="J23" s="171">
        <f t="shared" ref="J23:R23" si="2" xml:space="preserve"> IF($F21 &lt;&gt; 0, I22 / $F21, 0)</f>
        <v>0</v>
      </c>
      <c r="K23" s="171">
        <f xml:space="preserve"> IF($F21 &lt;&gt; 0, J22 / $F21, 0)</f>
        <v>1</v>
      </c>
      <c r="L23" s="171">
        <f t="shared" si="2"/>
        <v>1.0284872298624754</v>
      </c>
      <c r="M23" s="171">
        <f t="shared" si="2"/>
        <v>1.0500982318271121</v>
      </c>
      <c r="N23" s="171">
        <f t="shared" si="2"/>
        <v>1.0658153241650294</v>
      </c>
      <c r="O23" s="171">
        <f t="shared" si="2"/>
        <v>1.0717092337917484</v>
      </c>
      <c r="P23" s="171">
        <f t="shared" si="2"/>
        <v>1.1208251473477406</v>
      </c>
      <c r="Q23" s="171">
        <f t="shared" si="2"/>
        <v>1.2259332023575638</v>
      </c>
      <c r="R23" s="171">
        <f t="shared" si="2"/>
        <v>1.2770137524557956</v>
      </c>
      <c r="S23"/>
      <c r="T23"/>
      <c r="U23"/>
    </row>
    <row r="24" spans="1:21" s="166" customFormat="1">
      <c r="A24" s="164"/>
      <c r="B24" s="164"/>
      <c r="C24" s="165"/>
      <c r="E24" s="172"/>
      <c r="F24" s="172"/>
      <c r="G24" s="172"/>
      <c r="H24" s="172"/>
      <c r="I24" s="172"/>
      <c r="J24" s="162"/>
      <c r="K24" s="162"/>
      <c r="L24" s="162"/>
      <c r="M24" s="162"/>
      <c r="N24" s="162"/>
      <c r="O24" s="162"/>
      <c r="P24" s="162"/>
      <c r="Q24" s="162"/>
      <c r="R24" s="162"/>
      <c r="S24"/>
      <c r="T24"/>
      <c r="U24"/>
    </row>
    <row r="25" spans="1:21" s="166" customFormat="1">
      <c r="A25" s="164"/>
      <c r="B25" s="164"/>
      <c r="C25" s="165"/>
      <c r="E25" s="172" t="str">
        <f xml:space="preserve"> E$23</f>
        <v>CPIH Nov-Nov indexation factor - CALC</v>
      </c>
      <c r="F25" s="172">
        <f t="shared" ref="F25:R25" si="3" xml:space="preserve"> F$23</f>
        <v>0</v>
      </c>
      <c r="G25" s="172" t="str">
        <f t="shared" si="3"/>
        <v>%</v>
      </c>
      <c r="H25" s="172">
        <f t="shared" si="3"/>
        <v>0</v>
      </c>
      <c r="I25" s="172">
        <f t="shared" si="3"/>
        <v>0</v>
      </c>
      <c r="J25" s="162">
        <f t="shared" si="3"/>
        <v>0</v>
      </c>
      <c r="K25" s="162">
        <f t="shared" si="3"/>
        <v>1</v>
      </c>
      <c r="L25" s="162">
        <f t="shared" si="3"/>
        <v>1.0284872298624754</v>
      </c>
      <c r="M25" s="162">
        <f t="shared" si="3"/>
        <v>1.0500982318271121</v>
      </c>
      <c r="N25" s="162">
        <f t="shared" si="3"/>
        <v>1.0658153241650294</v>
      </c>
      <c r="O25" s="162">
        <f t="shared" si="3"/>
        <v>1.0717092337917484</v>
      </c>
      <c r="P25" s="162">
        <f t="shared" si="3"/>
        <v>1.1208251473477406</v>
      </c>
      <c r="Q25" s="162">
        <f t="shared" si="3"/>
        <v>1.2259332023575638</v>
      </c>
      <c r="R25" s="162">
        <f t="shared" si="3"/>
        <v>1.2770137524557956</v>
      </c>
      <c r="S25"/>
      <c r="T25"/>
      <c r="U25"/>
    </row>
    <row r="26" spans="1:21" s="166" customFormat="1">
      <c r="A26" s="164"/>
      <c r="B26" s="164"/>
      <c r="C26" s="165"/>
      <c r="E26" s="183" t="s">
        <v>172</v>
      </c>
      <c r="F26" s="183"/>
      <c r="G26" s="183"/>
      <c r="H26" s="183"/>
      <c r="I26" s="183"/>
      <c r="J26" s="171">
        <f xml:space="preserve"> IF(I25 &gt; 0, J25 / I25, 0)</f>
        <v>0</v>
      </c>
      <c r="K26" s="171">
        <f t="shared" ref="K26:R26" si="4" xml:space="preserve"> IF(J25 &gt; 0, K25 / J25, 0)</f>
        <v>0</v>
      </c>
      <c r="L26" s="171">
        <f t="shared" si="4"/>
        <v>1.0284872298624754</v>
      </c>
      <c r="M26" s="171">
        <f t="shared" si="4"/>
        <v>1.0210124164278893</v>
      </c>
      <c r="N26" s="171">
        <f xml:space="preserve"> IF(M25 &gt; 0, N25 / M25, 0)</f>
        <v>1.0149672591206733</v>
      </c>
      <c r="O26" s="171">
        <f t="shared" si="4"/>
        <v>1.0055299539170506</v>
      </c>
      <c r="P26" s="171">
        <f t="shared" si="4"/>
        <v>1.0458295142071494</v>
      </c>
      <c r="Q26" s="171">
        <f t="shared" si="4"/>
        <v>1.0937773882559159</v>
      </c>
      <c r="R26" s="171">
        <f t="shared" si="4"/>
        <v>1.0416666666666667</v>
      </c>
      <c r="S26"/>
      <c r="T26"/>
      <c r="U26"/>
    </row>
    <row r="27" spans="1:21" s="166" customFormat="1">
      <c r="A27" s="164"/>
      <c r="B27" s="164"/>
      <c r="C27" s="165"/>
      <c r="E27" s="183"/>
      <c r="F27" s="183"/>
      <c r="G27" s="183"/>
      <c r="H27" s="183"/>
      <c r="I27" s="183"/>
      <c r="J27" s="171"/>
      <c r="K27" s="171"/>
      <c r="L27" s="171"/>
      <c r="M27" s="171"/>
      <c r="N27" s="171"/>
      <c r="O27" s="171"/>
      <c r="P27" s="171"/>
      <c r="Q27" s="171"/>
      <c r="R27" s="171"/>
      <c r="S27"/>
      <c r="T27"/>
      <c r="U27"/>
    </row>
    <row r="28" spans="1:21" s="152" customFormat="1">
      <c r="A28" s="127" t="s">
        <v>173</v>
      </c>
      <c r="B28" s="127"/>
      <c r="C28" s="128"/>
      <c r="D28" s="151"/>
      <c r="E28" s="128"/>
      <c r="F28" s="129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/>
      <c r="T28"/>
      <c r="U28"/>
    </row>
    <row r="29" spans="1:2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</row>
    <row r="30" spans="1:21" hidden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21" hidden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</row>
    <row r="32" spans="1:21" hidden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  <row r="33" spans="1:16" hidden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</row>
    <row r="34" spans="1:16" hidden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7" priority="31" stopIfTrue="1" operator="equal">
      <formula>#REF!</formula>
    </cfRule>
    <cfRule type="cellIs" dxfId="6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zoomScaleNormal="100" workbookViewId="0">
      <pane xSplit="9" ySplit="5" topLeftCell="Q87" activePane="bottomRight" state="frozen"/>
      <selection pane="bottomRight" activeCell="R94" sqref="R94"/>
      <selection pane="bottomLeft"/>
      <selection pane="topRight"/>
    </sheetView>
  </sheetViews>
  <sheetFormatPr defaultColWidth="0" defaultRowHeight="14.45" zeroHeight="1" outlineLevelRow="1"/>
  <cols>
    <col min="1" max="1" width="1.140625" style="10" customWidth="1"/>
    <col min="2" max="2" width="1.140625" style="2" customWidth="1"/>
    <col min="3" max="3" width="1.140625" style="3" customWidth="1"/>
    <col min="4" max="4" width="1.140625" style="11" customWidth="1"/>
    <col min="5" max="5" width="87.5703125" style="12" bestFit="1" customWidth="1"/>
    <col min="6" max="6" width="14.140625" style="12" customWidth="1"/>
    <col min="7" max="7" width="11.140625" style="12" customWidth="1"/>
    <col min="8" max="8" width="12.5703125" style="12" customWidth="1"/>
    <col min="9" max="9" width="1.42578125" style="12" customWidth="1"/>
    <col min="10" max="16" width="12.42578125" style="12" customWidth="1"/>
    <col min="17" max="18" width="12.42578125" style="189" customWidth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F2"/>
      <c r="G2"/>
      <c r="H2"/>
      <c r="I2" s="117"/>
      <c r="J2" s="338">
        <f xml:space="preserve"> Time!J$21</f>
        <v>42825</v>
      </c>
      <c r="K2" s="338">
        <f xml:space="preserve"> Time!K$21</f>
        <v>43190</v>
      </c>
      <c r="L2" s="338">
        <f xml:space="preserve"> Time!L$21</f>
        <v>43555</v>
      </c>
      <c r="M2" s="338">
        <f xml:space="preserve"> Time!M$21</f>
        <v>43921</v>
      </c>
      <c r="N2" s="338">
        <f xml:space="preserve"> Time!N$21</f>
        <v>44286</v>
      </c>
      <c r="O2" s="338">
        <f xml:space="preserve"> Time!O$21</f>
        <v>44651</v>
      </c>
      <c r="P2" s="338">
        <f xml:space="preserve"> Time!P$21</f>
        <v>45016</v>
      </c>
      <c r="Q2" s="338">
        <f xml:space="preserve"> Time!Q$21</f>
        <v>45382</v>
      </c>
      <c r="R2" s="338">
        <f xml:space="preserve"> Time!R$21</f>
        <v>45747</v>
      </c>
    </row>
    <row r="3" spans="1:18">
      <c r="E3" s="117" t="str">
        <f xml:space="preserve"> Time!E$3</f>
        <v>Pre Forecast vs Forecast</v>
      </c>
      <c r="F3" s="335"/>
      <c r="G3" s="335"/>
      <c r="H3"/>
      <c r="I3" s="117"/>
      <c r="J3" s="335" t="str">
        <f xml:space="preserve"> Time!J55</f>
        <v>Pre Fcst</v>
      </c>
      <c r="K3" s="335" t="str">
        <f xml:space="preserve"> Time!K55</f>
        <v>Pre Fcst</v>
      </c>
      <c r="L3" s="335" t="str">
        <f xml:space="preserve"> Time!L55</f>
        <v>Pre Fcst</v>
      </c>
      <c r="M3" s="335" t="str">
        <f xml:space="preserve"> Time!M55</f>
        <v>Pre Fcst</v>
      </c>
      <c r="N3" s="335" t="str">
        <f xml:space="preserve"> Time!N55</f>
        <v>Forecast</v>
      </c>
      <c r="O3" s="335" t="str">
        <f xml:space="preserve"> Time!O55</f>
        <v>Forecast</v>
      </c>
      <c r="P3" s="335" t="str">
        <f xml:space="preserve"> Time!P55</f>
        <v>Forecast</v>
      </c>
      <c r="Q3" s="335" t="str">
        <f xml:space="preserve"> Time!Q55</f>
        <v>Forecast</v>
      </c>
      <c r="R3" s="335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17"/>
      <c r="G4" s="117"/>
      <c r="H4"/>
      <c r="I4" s="117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174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289" customFormat="1" outlineLevel="1">
      <c r="A8" s="155"/>
      <c r="B8" s="155"/>
      <c r="C8" s="156"/>
      <c r="D8" s="159"/>
      <c r="E8" s="157"/>
      <c r="F8" s="157"/>
      <c r="G8" s="157"/>
      <c r="H8" s="190"/>
      <c r="I8" s="157"/>
      <c r="J8" s="190"/>
      <c r="K8" s="190"/>
      <c r="L8" s="190"/>
      <c r="M8" s="190"/>
      <c r="N8" s="190"/>
      <c r="O8" s="190"/>
      <c r="P8" s="190"/>
      <c r="Q8" s="190"/>
      <c r="R8" s="190"/>
    </row>
    <row r="9" spans="1:18" s="289" customFormat="1" outlineLevel="1">
      <c r="A9" s="155"/>
      <c r="B9" s="155"/>
      <c r="C9" s="156"/>
      <c r="D9" s="159"/>
      <c r="E9" s="302" t="str">
        <f xml:space="preserve"> InputsR!E$11</f>
        <v>Actual volume of sludge (ATDS)</v>
      </c>
      <c r="F9" s="302">
        <f xml:space="preserve"> InputsR!F$11</f>
        <v>0</v>
      </c>
      <c r="G9" s="302" t="str">
        <f xml:space="preserve"> InputsR!G$11</f>
        <v>ttds</v>
      </c>
      <c r="H9" s="302">
        <f xml:space="preserve"> InputsR!H$11</f>
        <v>1803.0016206999999</v>
      </c>
      <c r="I9" s="302">
        <f xml:space="preserve"> InputsR!I$11</f>
        <v>0</v>
      </c>
      <c r="J9" s="302">
        <f xml:space="preserve"> InputsR!J$11</f>
        <v>0</v>
      </c>
      <c r="K9" s="302">
        <f xml:space="preserve"> InputsR!K$11</f>
        <v>0</v>
      </c>
      <c r="L9" s="302">
        <f xml:space="preserve"> InputsR!L$11</f>
        <v>0</v>
      </c>
      <c r="M9" s="302">
        <f xml:space="preserve"> InputsR!M$11</f>
        <v>0</v>
      </c>
      <c r="N9" s="302">
        <f xml:space="preserve"> InputsR!N$11</f>
        <v>345.33300000000003</v>
      </c>
      <c r="O9" s="302">
        <f xml:space="preserve"> InputsR!O$11</f>
        <v>371.67091269999997</v>
      </c>
      <c r="P9" s="302">
        <f xml:space="preserve"> InputsR!P$11</f>
        <v>353.89499999999998</v>
      </c>
      <c r="Q9" s="302">
        <f xml:space="preserve"> InputsR!Q$11</f>
        <v>365.60270800000001</v>
      </c>
      <c r="R9" s="302">
        <f xml:space="preserve"> InputsR!R$11</f>
        <v>366.5</v>
      </c>
    </row>
    <row r="10" spans="1:18" outlineLevel="1">
      <c r="A10" s="155"/>
      <c r="B10" s="155"/>
      <c r="C10" s="156"/>
      <c r="D10" s="159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00" customFormat="1" ht="14.1" outlineLevel="1">
      <c r="A11" s="155"/>
      <c r="B11" s="155"/>
      <c r="C11" s="156"/>
      <c r="D11" s="159"/>
      <c r="E11" s="157" t="s">
        <v>101</v>
      </c>
      <c r="F11" s="15"/>
      <c r="G11" s="157" t="s">
        <v>80</v>
      </c>
      <c r="H11" s="190">
        <f xml:space="preserve"> SUM( J11:R11 )</f>
        <v>1803001.6206999999</v>
      </c>
      <c r="I11" s="157"/>
      <c r="J11" s="190">
        <f xml:space="preserve"> J9 * $F$10</f>
        <v>0</v>
      </c>
      <c r="K11" s="190">
        <f t="shared" ref="K11:R11" si="0" xml:space="preserve"> K9 * $F$10</f>
        <v>0</v>
      </c>
      <c r="L11" s="190">
        <f t="shared" si="0"/>
        <v>0</v>
      </c>
      <c r="M11" s="190">
        <f t="shared" si="0"/>
        <v>0</v>
      </c>
      <c r="N11" s="190">
        <f t="shared" si="0"/>
        <v>345333</v>
      </c>
      <c r="O11" s="190">
        <f t="shared" si="0"/>
        <v>371670.91269999999</v>
      </c>
      <c r="P11" s="190">
        <f t="shared" si="0"/>
        <v>353895</v>
      </c>
      <c r="Q11" s="190">
        <f t="shared" si="0"/>
        <v>365602.70799999998</v>
      </c>
      <c r="R11" s="190">
        <f t="shared" si="0"/>
        <v>366500</v>
      </c>
    </row>
    <row r="12" spans="1:18" s="300" customFormat="1" ht="14.1" outlineLevel="1">
      <c r="A12" s="155"/>
      <c r="B12" s="155"/>
      <c r="C12" s="156"/>
      <c r="D12" s="15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00" customFormat="1" ht="14.1" outlineLevel="1">
      <c r="A13" s="155"/>
      <c r="B13" s="155"/>
      <c r="C13" s="156"/>
      <c r="D13" s="159"/>
      <c r="E13" s="15" t="str">
        <f xml:space="preserve"> InputsC!E$21</f>
        <v>Units in a million</v>
      </c>
      <c r="F13" s="302">
        <f xml:space="preserve"> InputsC!F$21</f>
        <v>1000000</v>
      </c>
      <c r="G13" s="302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08" customFormat="1" ht="14.1" outlineLevel="1">
      <c r="A14" s="2"/>
      <c r="B14" s="2"/>
      <c r="C14" s="3"/>
      <c r="D14" s="4"/>
      <c r="E14" s="301" t="str">
        <f xml:space="preserve"> InputsR!E$19</f>
        <v>Revised unadjusted revenue (URt) - 2017-18 FYA (CPIH deflated)</v>
      </c>
      <c r="F14" s="302">
        <f xml:space="preserve"> InputsR!F$19</f>
        <v>0</v>
      </c>
      <c r="G14" s="302" t="str">
        <f xml:space="preserve"> InputsR!G$19</f>
        <v>£m</v>
      </c>
      <c r="H14" s="303">
        <f xml:space="preserve"> InputsR!H$19</f>
        <v>808.11199999999997</v>
      </c>
      <c r="I14" s="302">
        <f xml:space="preserve"> InputsR!I$19</f>
        <v>0</v>
      </c>
      <c r="J14" s="302">
        <f xml:space="preserve"> InputsR!J$19</f>
        <v>0</v>
      </c>
      <c r="K14" s="302">
        <f xml:space="preserve"> InputsR!K$19</f>
        <v>0</v>
      </c>
      <c r="L14" s="302">
        <f xml:space="preserve"> InputsR!L$19</f>
        <v>0</v>
      </c>
      <c r="M14" s="302">
        <f xml:space="preserve"> InputsR!M$19</f>
        <v>0</v>
      </c>
      <c r="N14" s="303">
        <f xml:space="preserve"> InputsR!N$19</f>
        <v>158.887</v>
      </c>
      <c r="O14" s="303">
        <f xml:space="preserve"> InputsR!O$19</f>
        <v>160.767</v>
      </c>
      <c r="P14" s="303">
        <f xml:space="preserve"> InputsR!P$19</f>
        <v>160.09899999999999</v>
      </c>
      <c r="Q14" s="303">
        <f xml:space="preserve"> InputsR!Q$19</f>
        <v>163.34899999999999</v>
      </c>
      <c r="R14" s="303">
        <f xml:space="preserve"> InputsR!R$19</f>
        <v>165.01</v>
      </c>
    </row>
    <row r="15" spans="1:18" s="308" customFormat="1" ht="14.1" outlineLevel="1">
      <c r="A15" s="2"/>
      <c r="B15" s="2"/>
      <c r="C15" s="3"/>
      <c r="D15" s="4"/>
      <c r="E15" s="5" t="str">
        <f t="shared" ref="E15:R15" si="1" xml:space="preserve"> E$11</f>
        <v>Actual volume of sludge (ATDS)</v>
      </c>
      <c r="F15" s="5">
        <f t="shared" si="1"/>
        <v>0</v>
      </c>
      <c r="G15" s="5" t="str">
        <f t="shared" si="1"/>
        <v>TDS</v>
      </c>
      <c r="H15" s="188">
        <f t="shared" si="1"/>
        <v>1803001.6206999999</v>
      </c>
      <c r="I15" s="5">
        <f t="shared" si="1"/>
        <v>0</v>
      </c>
      <c r="J15" s="188">
        <f t="shared" si="1"/>
        <v>0</v>
      </c>
      <c r="K15" s="188">
        <f t="shared" si="1"/>
        <v>0</v>
      </c>
      <c r="L15" s="188">
        <f t="shared" si="1"/>
        <v>0</v>
      </c>
      <c r="M15" s="188">
        <f t="shared" si="1"/>
        <v>0</v>
      </c>
      <c r="N15" s="188">
        <f t="shared" si="1"/>
        <v>345333</v>
      </c>
      <c r="O15" s="188">
        <f t="shared" si="1"/>
        <v>371670.91269999999</v>
      </c>
      <c r="P15" s="188">
        <f t="shared" si="1"/>
        <v>353895</v>
      </c>
      <c r="Q15" s="188">
        <f t="shared" si="1"/>
        <v>365602.70799999998</v>
      </c>
      <c r="R15" s="188">
        <f t="shared" si="1"/>
        <v>366500</v>
      </c>
    </row>
    <row r="16" spans="1:18" s="308" customFormat="1" ht="14.1" outlineLevel="1">
      <c r="A16" s="16"/>
      <c r="B16" s="16"/>
      <c r="C16" s="17"/>
      <c r="D16" s="158"/>
      <c r="E16" s="302" t="str">
        <f xml:space="preserve"> InputsR!E$9</f>
        <v>Forecast volume of sludge (FTDS)</v>
      </c>
      <c r="F16" s="302">
        <f xml:space="preserve"> InputsR!F$9</f>
        <v>0</v>
      </c>
      <c r="G16" s="302" t="str">
        <f xml:space="preserve"> InputsR!G$9</f>
        <v>TDS</v>
      </c>
      <c r="H16" s="302">
        <f xml:space="preserve"> InputsR!H$9</f>
        <v>2013210</v>
      </c>
      <c r="I16" s="302">
        <f xml:space="preserve"> InputsR!I$9</f>
        <v>0</v>
      </c>
      <c r="J16" s="302">
        <f xml:space="preserve"> InputsR!J$9</f>
        <v>0</v>
      </c>
      <c r="K16" s="302">
        <f xml:space="preserve"> InputsR!K$9</f>
        <v>0</v>
      </c>
      <c r="L16" s="302">
        <f xml:space="preserve"> InputsR!L$9</f>
        <v>0</v>
      </c>
      <c r="M16" s="302">
        <f xml:space="preserve"> InputsR!M$9</f>
        <v>0</v>
      </c>
      <c r="N16" s="302">
        <f xml:space="preserve"> InputsR!N$9</f>
        <v>396330</v>
      </c>
      <c r="O16" s="302">
        <f xml:space="preserve"> InputsR!O$9</f>
        <v>401020</v>
      </c>
      <c r="P16" s="302">
        <f xml:space="preserve"> InputsR!P$9</f>
        <v>403150</v>
      </c>
      <c r="Q16" s="302">
        <f xml:space="preserve"> InputsR!Q$9</f>
        <v>405290</v>
      </c>
      <c r="R16" s="302">
        <f xml:space="preserve"> InputsR!R$9</f>
        <v>407420</v>
      </c>
    </row>
    <row r="17" spans="1:18" s="308" customFormat="1" ht="14.1" outlineLevel="1">
      <c r="A17" s="2"/>
      <c r="B17" s="2"/>
      <c r="C17" s="3"/>
      <c r="D17" s="4"/>
      <c r="E17" s="302" t="str">
        <f xml:space="preserve"> InputsR!E$15</f>
        <v>Variable revenue - 2017-18 FYA (CPIH deflated)</v>
      </c>
      <c r="F17" s="303">
        <f xml:space="preserve"> InputsR!F$15</f>
        <v>56.973999999999997</v>
      </c>
      <c r="G17" s="302" t="str">
        <f xml:space="preserve"> InputsR!G$15</f>
        <v>£/TDS</v>
      </c>
      <c r="H17" s="302">
        <f xml:space="preserve"> InputsR!H$15</f>
        <v>0</v>
      </c>
      <c r="I17" s="302">
        <f xml:space="preserve"> InputsR!I$15</f>
        <v>0</v>
      </c>
      <c r="J17" s="302">
        <f xml:space="preserve"> InputsR!J$15</f>
        <v>0</v>
      </c>
      <c r="K17" s="302">
        <f xml:space="preserve"> InputsR!K$15</f>
        <v>0</v>
      </c>
      <c r="L17" s="302">
        <f xml:space="preserve"> InputsR!L$15</f>
        <v>0</v>
      </c>
      <c r="M17" s="302">
        <f xml:space="preserve"> InputsR!M$15</f>
        <v>0</v>
      </c>
      <c r="N17" s="302">
        <f xml:space="preserve"> InputsR!N$15</f>
        <v>0</v>
      </c>
      <c r="O17" s="302">
        <f xml:space="preserve"> InputsR!O$15</f>
        <v>0</v>
      </c>
      <c r="P17" s="302">
        <f xml:space="preserve"> InputsR!P$15</f>
        <v>0</v>
      </c>
      <c r="Q17" s="302">
        <f xml:space="preserve"> InputsR!Q$15</f>
        <v>0</v>
      </c>
      <c r="R17" s="302">
        <f xml:space="preserve"> InputsR!R$15</f>
        <v>0</v>
      </c>
    </row>
    <row r="18" spans="1:18" s="308" customFormat="1" ht="14.1" outlineLevel="1">
      <c r="A18" s="111"/>
      <c r="B18" s="111"/>
      <c r="C18" s="111"/>
      <c r="D18" s="111"/>
      <c r="E18" s="111" t="s">
        <v>175</v>
      </c>
      <c r="F18" s="111"/>
      <c r="G18" s="111" t="s">
        <v>107</v>
      </c>
      <c r="H18" s="340">
        <f xml:space="preserve"> SUM( J18:R18 )</f>
        <v>796.13558779776167</v>
      </c>
      <c r="I18" s="340"/>
      <c r="J18" s="341">
        <f xml:space="preserve"> J14 + ( ( J15 - J16 ) * $F$17 ) / $F$13</f>
        <v>0</v>
      </c>
      <c r="K18" s="341">
        <f t="shared" ref="K18:R18" si="2" xml:space="preserve"> K14 + ( ( K15 - K16 ) * $F$17 ) / $F$13</f>
        <v>0</v>
      </c>
      <c r="L18" s="341">
        <f t="shared" si="2"/>
        <v>0</v>
      </c>
      <c r="M18" s="341">
        <f t="shared" si="2"/>
        <v>0</v>
      </c>
      <c r="N18" s="341">
        <f t="shared" si="2"/>
        <v>155.98149692199999</v>
      </c>
      <c r="O18" s="341">
        <f t="shared" si="2"/>
        <v>159.09486510016978</v>
      </c>
      <c r="P18" s="341">
        <f t="shared" si="2"/>
        <v>157.29274562999998</v>
      </c>
      <c r="Q18" s="341">
        <f t="shared" si="2"/>
        <v>161.08785622559199</v>
      </c>
      <c r="R18" s="341">
        <f t="shared" si="2"/>
        <v>162.67862391999998</v>
      </c>
    </row>
    <row r="19" spans="1:18" s="308" customFormat="1" ht="14.1" outlineLevel="1">
      <c r="A19" s="339"/>
      <c r="B19" s="339"/>
      <c r="C19" s="339"/>
      <c r="D19" s="339"/>
      <c r="E19" s="306"/>
      <c r="F19" s="342"/>
      <c r="G19" s="342"/>
      <c r="H19" s="342"/>
      <c r="I19" s="342"/>
      <c r="J19" s="343"/>
      <c r="K19" s="343"/>
      <c r="L19" s="343"/>
      <c r="M19" s="343"/>
      <c r="N19" s="343"/>
      <c r="O19" s="343"/>
      <c r="P19" s="343"/>
      <c r="Q19" s="343"/>
      <c r="R19" s="343"/>
    </row>
    <row r="20" spans="1:18" s="308" customFormat="1" ht="14.1" outlineLevel="1">
      <c r="A20" s="339"/>
      <c r="B20" s="339"/>
      <c r="C20" s="339"/>
      <c r="D20" s="339"/>
      <c r="E20" s="111" t="str">
        <f t="shared" ref="E20:R20" si="3" xml:space="preserve"> E$18</f>
        <v>Modified revenue - 2017-18 FYA (CPIH deflated)</v>
      </c>
      <c r="F20" s="111">
        <f t="shared" si="3"/>
        <v>0</v>
      </c>
      <c r="G20" s="111" t="str">
        <f t="shared" si="3"/>
        <v>£m</v>
      </c>
      <c r="H20" s="111">
        <f t="shared" si="3"/>
        <v>796.13558779776167</v>
      </c>
      <c r="I20" s="111">
        <f t="shared" si="3"/>
        <v>0</v>
      </c>
      <c r="J20" s="111">
        <f t="shared" si="3"/>
        <v>0</v>
      </c>
      <c r="K20" s="111">
        <f t="shared" si="3"/>
        <v>0</v>
      </c>
      <c r="L20" s="111">
        <f t="shared" si="3"/>
        <v>0</v>
      </c>
      <c r="M20" s="111">
        <f t="shared" si="3"/>
        <v>0</v>
      </c>
      <c r="N20" s="111">
        <f t="shared" si="3"/>
        <v>155.98149692199999</v>
      </c>
      <c r="O20" s="111">
        <f t="shared" si="3"/>
        <v>159.09486510016978</v>
      </c>
      <c r="P20" s="111">
        <f t="shared" si="3"/>
        <v>157.29274562999998</v>
      </c>
      <c r="Q20" s="111">
        <f t="shared" si="3"/>
        <v>161.08785622559199</v>
      </c>
      <c r="R20" s="111">
        <f t="shared" si="3"/>
        <v>162.67862391999998</v>
      </c>
    </row>
    <row r="21" spans="1:18" s="308" customFormat="1" ht="14.1" outlineLevel="1">
      <c r="A21" s="339"/>
      <c r="B21" s="339"/>
      <c r="C21" s="339"/>
      <c r="D21" s="339"/>
      <c r="E21" s="160" t="str">
        <f xml:space="preserve"> Index!E$23</f>
        <v>CPIH Nov-Nov indexation factor - CALC</v>
      </c>
      <c r="F21" s="160">
        <f xml:space="preserve"> Index!F$23</f>
        <v>0</v>
      </c>
      <c r="G21" s="160" t="str">
        <f xml:space="preserve"> Index!G$23</f>
        <v>%</v>
      </c>
      <c r="H21" s="160">
        <f xml:space="preserve"> Index!H$23</f>
        <v>0</v>
      </c>
      <c r="I21" s="160">
        <f xml:space="preserve"> Index!I$23</f>
        <v>0</v>
      </c>
      <c r="J21" s="160">
        <f xml:space="preserve"> Index!J$23</f>
        <v>0</v>
      </c>
      <c r="K21" s="160">
        <f xml:space="preserve"> Index!K$23</f>
        <v>1</v>
      </c>
      <c r="L21" s="160">
        <f xml:space="preserve"> Index!L$23</f>
        <v>1.0284872298624754</v>
      </c>
      <c r="M21" s="160">
        <f xml:space="preserve"> Index!M$23</f>
        <v>1.0500982318271121</v>
      </c>
      <c r="N21" s="160">
        <f xml:space="preserve"> Index!N$23</f>
        <v>1.0658153241650294</v>
      </c>
      <c r="O21" s="160">
        <f xml:space="preserve"> Index!O$23</f>
        <v>1.0717092337917484</v>
      </c>
      <c r="P21" s="160">
        <f xml:space="preserve"> Index!P$23</f>
        <v>1.1208251473477406</v>
      </c>
      <c r="Q21" s="160">
        <f xml:space="preserve"> Index!Q$23</f>
        <v>1.2259332023575638</v>
      </c>
      <c r="R21" s="160">
        <f xml:space="preserve"> Index!R$23</f>
        <v>1.2770137524557956</v>
      </c>
    </row>
    <row r="22" spans="1:18" s="344" customFormat="1" ht="14.1" outlineLevel="1">
      <c r="E22" s="111" t="s">
        <v>176</v>
      </c>
      <c r="F22" s="111"/>
      <c r="G22" s="111" t="s">
        <v>107</v>
      </c>
      <c r="H22" s="111">
        <f xml:space="preserve"> SUM( J22:R22 )</f>
        <v>918.27436189982711</v>
      </c>
      <c r="I22" s="111"/>
      <c r="J22" s="111">
        <f xml:space="preserve"> J20 * J21</f>
        <v>0</v>
      </c>
      <c r="K22" s="111">
        <f t="shared" ref="K22:R22" si="4" xml:space="preserve"> K20 * K21</f>
        <v>0</v>
      </c>
      <c r="L22" s="111">
        <f t="shared" si="4"/>
        <v>0</v>
      </c>
      <c r="M22" s="111">
        <f t="shared" si="4"/>
        <v>0</v>
      </c>
      <c r="N22" s="111">
        <f xml:space="preserve"> N20 * N21</f>
        <v>166.24746970566795</v>
      </c>
      <c r="O22" s="111">
        <f t="shared" si="4"/>
        <v>170.50343597670454</v>
      </c>
      <c r="P22" s="111">
        <f t="shared" si="4"/>
        <v>176.29766479747542</v>
      </c>
      <c r="Q22" s="111">
        <f t="shared" si="4"/>
        <v>197.48295144355481</v>
      </c>
      <c r="R22" s="111">
        <f t="shared" si="4"/>
        <v>207.74283997642434</v>
      </c>
    </row>
    <row r="23" spans="1:18" s="300" customFormat="1" ht="14.1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1:18" s="300" customFormat="1" ht="15" customHeight="1">
      <c r="A24" s="80" t="s">
        <v>177</v>
      </c>
      <c r="B24" s="80"/>
      <c r="C24" s="8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customHeight="1" outlineLevel="1">
      <c r="A26" s="25"/>
      <c r="B26" s="25"/>
      <c r="C26" s="25"/>
      <c r="D26" s="25"/>
      <c r="E26" s="334" t="str">
        <f t="shared" ref="E26:R26" si="5" xml:space="preserve"> E$22</f>
        <v>Modified revenue</v>
      </c>
      <c r="F26" s="334">
        <f t="shared" si="5"/>
        <v>0</v>
      </c>
      <c r="G26" s="334" t="str">
        <f t="shared" si="5"/>
        <v>£m</v>
      </c>
      <c r="H26" s="239">
        <f t="shared" si="5"/>
        <v>918.27436189982711</v>
      </c>
      <c r="I26" s="334">
        <f t="shared" si="5"/>
        <v>0</v>
      </c>
      <c r="J26" s="239">
        <f t="shared" si="5"/>
        <v>0</v>
      </c>
      <c r="K26" s="239">
        <f t="shared" si="5"/>
        <v>0</v>
      </c>
      <c r="L26" s="239">
        <f t="shared" si="5"/>
        <v>0</v>
      </c>
      <c r="M26" s="239">
        <f t="shared" si="5"/>
        <v>0</v>
      </c>
      <c r="N26" s="239">
        <f t="shared" si="5"/>
        <v>166.24746970566795</v>
      </c>
      <c r="O26" s="239">
        <f t="shared" si="5"/>
        <v>170.50343597670454</v>
      </c>
      <c r="P26" s="239">
        <f t="shared" si="5"/>
        <v>176.29766479747542</v>
      </c>
      <c r="Q26" s="239">
        <f t="shared" si="5"/>
        <v>197.48295144355481</v>
      </c>
      <c r="R26" s="239">
        <f t="shared" si="5"/>
        <v>207.74283997642434</v>
      </c>
    </row>
    <row r="27" spans="1:18" ht="15" customHeight="1" outlineLevel="1">
      <c r="A27" s="195"/>
      <c r="B27" s="195"/>
      <c r="C27" s="196"/>
      <c r="D27" s="197"/>
      <c r="E27" s="199" t="str">
        <f xml:space="preserve"> E$65</f>
        <v>Total adjustment to allowed revenue including over / under recovery true up</v>
      </c>
      <c r="F27" s="199" t="str">
        <f t="shared" ref="F27:R27" si="6" xml:space="preserve"> F$65</f>
        <v>2 PD LK BCK</v>
      </c>
      <c r="G27" s="199" t="str">
        <f t="shared" si="6"/>
        <v>£m</v>
      </c>
      <c r="H27" s="175">
        <f t="shared" si="6"/>
        <v>13.479752765472956</v>
      </c>
      <c r="I27" s="175">
        <f t="shared" si="6"/>
        <v>0</v>
      </c>
      <c r="J27" s="175">
        <f t="shared" si="6"/>
        <v>0</v>
      </c>
      <c r="K27" s="175">
        <f t="shared" si="6"/>
        <v>0</v>
      </c>
      <c r="L27" s="175">
        <f t="shared" si="6"/>
        <v>0</v>
      </c>
      <c r="M27" s="175">
        <f t="shared" si="6"/>
        <v>0</v>
      </c>
      <c r="N27" s="175">
        <f t="shared" si="6"/>
        <v>0</v>
      </c>
      <c r="O27" s="175">
        <f t="shared" si="6"/>
        <v>0</v>
      </c>
      <c r="P27" s="175">
        <f t="shared" si="6"/>
        <v>7.4671540723282428</v>
      </c>
      <c r="Q27" s="175">
        <f t="shared" si="6"/>
        <v>4.7781984613254638</v>
      </c>
      <c r="R27" s="175">
        <f t="shared" si="6"/>
        <v>1.2344002318192482</v>
      </c>
    </row>
    <row r="28" spans="1:18" ht="15" customHeight="1" outlineLevel="1">
      <c r="A28" s="195"/>
      <c r="B28" s="195"/>
      <c r="C28" s="196"/>
      <c r="D28" s="197"/>
      <c r="E28" s="198" t="s">
        <v>178</v>
      </c>
      <c r="F28" s="198"/>
      <c r="G28" s="198" t="s">
        <v>107</v>
      </c>
      <c r="H28" s="202">
        <f xml:space="preserve"> SUM( J28:R28 )</f>
        <v>931.75411466529999</v>
      </c>
      <c r="I28" s="198"/>
      <c r="J28" s="202">
        <f xml:space="preserve"> J26 + J27</f>
        <v>0</v>
      </c>
      <c r="K28" s="202">
        <f t="shared" ref="K28:R28" si="7" xml:space="preserve"> K26 + K27</f>
        <v>0</v>
      </c>
      <c r="L28" s="202">
        <f t="shared" si="7"/>
        <v>0</v>
      </c>
      <c r="M28" s="202">
        <f t="shared" si="7"/>
        <v>0</v>
      </c>
      <c r="N28" s="202">
        <f xml:space="preserve"> N26 + N27</f>
        <v>166.24746970566795</v>
      </c>
      <c r="O28" s="202">
        <f t="shared" si="7"/>
        <v>170.50343597670454</v>
      </c>
      <c r="P28" s="202">
        <f t="shared" si="7"/>
        <v>183.76481886980366</v>
      </c>
      <c r="Q28" s="202">
        <f t="shared" si="7"/>
        <v>202.26114990488028</v>
      </c>
      <c r="R28" s="202">
        <f t="shared" si="7"/>
        <v>208.97724020824359</v>
      </c>
    </row>
    <row r="29" spans="1:18" ht="15" customHeight="1" outlineLevel="1">
      <c r="A29" s="200"/>
      <c r="B29" s="200"/>
      <c r="C29" s="201"/>
      <c r="D29" s="198"/>
      <c r="E29" s="198"/>
      <c r="F29" s="198"/>
      <c r="G29" s="198"/>
      <c r="H29" s="202"/>
      <c r="I29" s="23"/>
      <c r="J29" s="23"/>
      <c r="K29" s="203"/>
      <c r="L29" s="203"/>
      <c r="M29" s="203"/>
      <c r="N29" s="203"/>
      <c r="O29" s="203"/>
      <c r="P29" s="203"/>
      <c r="Q29" s="203"/>
      <c r="R29" s="203"/>
    </row>
    <row r="30" spans="1:18" ht="15" customHeight="1" outlineLevel="1">
      <c r="A30" s="164"/>
      <c r="B30" s="164" t="s">
        <v>179</v>
      </c>
      <c r="C30" s="165"/>
      <c r="D30" s="194"/>
      <c r="E30" s="166"/>
      <c r="F30" s="166"/>
      <c r="G30" s="166"/>
      <c r="H30" s="166"/>
      <c r="I30" s="23"/>
      <c r="J30" s="23"/>
      <c r="K30" s="131"/>
      <c r="L30" s="126"/>
      <c r="M30" s="126"/>
      <c r="N30" s="126"/>
      <c r="O30" s="126"/>
      <c r="P30" s="126"/>
      <c r="Q30" s="126"/>
      <c r="R30" s="126"/>
    </row>
    <row r="31" spans="1:18" ht="15" customHeight="1" outlineLevel="1">
      <c r="A31" s="164"/>
      <c r="B31" s="164"/>
      <c r="C31" s="165"/>
      <c r="D31" s="194"/>
      <c r="E31" s="166"/>
      <c r="F31" s="166"/>
      <c r="G31" s="166"/>
      <c r="H31" s="166"/>
      <c r="I31" s="23"/>
      <c r="J31" s="23"/>
      <c r="K31" s="131"/>
      <c r="L31" s="126"/>
      <c r="M31" s="126"/>
      <c r="N31" s="126"/>
      <c r="O31" s="126"/>
      <c r="P31" s="126"/>
      <c r="Q31" s="126"/>
      <c r="R31" s="126"/>
    </row>
    <row r="32" spans="1:18" ht="15" customHeight="1" outlineLevel="1">
      <c r="A32" s="83"/>
      <c r="B32" s="83"/>
      <c r="C32" s="84"/>
      <c r="D32" s="85"/>
      <c r="E32" s="204" t="str">
        <f xml:space="preserve"> InputsR!E$17</f>
        <v>Recovered revenue for bioresources</v>
      </c>
      <c r="F32" s="204">
        <f xml:space="preserve"> InputsR!F$17</f>
        <v>0</v>
      </c>
      <c r="G32" s="204" t="str">
        <f xml:space="preserve"> InputsR!G$17</f>
        <v>£m</v>
      </c>
      <c r="H32" s="204">
        <f xml:space="preserve"> InputsR!H$17</f>
        <v>918.96224020824366</v>
      </c>
      <c r="I32" s="204">
        <f xml:space="preserve"> InputsR!I$17</f>
        <v>0</v>
      </c>
      <c r="J32" s="204">
        <f xml:space="preserve"> InputsR!J$17</f>
        <v>0</v>
      </c>
      <c r="K32" s="204">
        <f xml:space="preserve"> InputsR!K$17</f>
        <v>0</v>
      </c>
      <c r="L32" s="204">
        <f xml:space="preserve"> InputsR!L$17</f>
        <v>0</v>
      </c>
      <c r="M32" s="204">
        <f xml:space="preserve"> InputsR!M$17</f>
        <v>0</v>
      </c>
      <c r="N32" s="204">
        <f xml:space="preserve"> InputsR!N$17</f>
        <v>159.54399999999998</v>
      </c>
      <c r="O32" s="204">
        <f xml:space="preserve"> InputsR!O$17</f>
        <v>166.56</v>
      </c>
      <c r="P32" s="204">
        <f xml:space="preserve"> InputsR!P$17</f>
        <v>182.74199999999999</v>
      </c>
      <c r="Q32" s="204">
        <f xml:space="preserve"> InputsR!Q$17</f>
        <v>201.13900000000001</v>
      </c>
      <c r="R32" s="204">
        <f xml:space="preserve"> InputsR!R$17</f>
        <v>208.97724020824359</v>
      </c>
    </row>
    <row r="33" spans="1:18" ht="15" customHeight="1" outlineLevel="1">
      <c r="A33" s="103"/>
      <c r="B33" s="83"/>
      <c r="C33" s="104"/>
      <c r="D33" s="85" t="s">
        <v>161</v>
      </c>
      <c r="E33" s="173" t="str">
        <f xml:space="preserve"> E$28</f>
        <v>Allowed revenue</v>
      </c>
      <c r="F33" s="173">
        <f t="shared" ref="F33:R33" si="8" xml:space="preserve"> F$28</f>
        <v>0</v>
      </c>
      <c r="G33" s="173" t="str">
        <f t="shared" si="8"/>
        <v>£m</v>
      </c>
      <c r="H33" s="173">
        <f t="shared" si="8"/>
        <v>931.75411466529999</v>
      </c>
      <c r="I33" s="173">
        <f t="shared" si="8"/>
        <v>0</v>
      </c>
      <c r="J33" s="173">
        <f t="shared" si="8"/>
        <v>0</v>
      </c>
      <c r="K33" s="173">
        <f t="shared" si="8"/>
        <v>0</v>
      </c>
      <c r="L33" s="173">
        <f t="shared" si="8"/>
        <v>0</v>
      </c>
      <c r="M33" s="173">
        <f t="shared" si="8"/>
        <v>0</v>
      </c>
      <c r="N33" s="173">
        <f t="shared" si="8"/>
        <v>166.24746970566795</v>
      </c>
      <c r="O33" s="173">
        <f t="shared" si="8"/>
        <v>170.50343597670454</v>
      </c>
      <c r="P33" s="173">
        <f t="shared" si="8"/>
        <v>183.76481886980366</v>
      </c>
      <c r="Q33" s="173">
        <f t="shared" si="8"/>
        <v>202.26114990488028</v>
      </c>
      <c r="R33" s="173">
        <f t="shared" si="8"/>
        <v>208.97724020824359</v>
      </c>
    </row>
    <row r="34" spans="1:18" ht="15" customHeight="1" outlineLevel="1">
      <c r="A34" s="191"/>
      <c r="B34" s="191"/>
      <c r="C34" s="156"/>
      <c r="D34" s="192"/>
      <c r="E34" s="206" t="s">
        <v>180</v>
      </c>
      <c r="F34" s="207"/>
      <c r="G34" s="207" t="s">
        <v>107</v>
      </c>
      <c r="H34" s="207">
        <f xml:space="preserve"> SUM(J34:W34)</f>
        <v>-12.791874457056451</v>
      </c>
      <c r="I34" s="203"/>
      <c r="J34" s="203">
        <f xml:space="preserve"> J32 - J33</f>
        <v>0</v>
      </c>
      <c r="K34" s="203">
        <f t="shared" ref="K34:R34" si="9" xml:space="preserve"> K32 - K33</f>
        <v>0</v>
      </c>
      <c r="L34" s="203">
        <f t="shared" si="9"/>
        <v>0</v>
      </c>
      <c r="M34" s="203">
        <f t="shared" si="9"/>
        <v>0</v>
      </c>
      <c r="N34" s="203">
        <f t="shared" si="9"/>
        <v>-6.7034697056679704</v>
      </c>
      <c r="O34" s="203">
        <f t="shared" si="9"/>
        <v>-3.9434359767045351</v>
      </c>
      <c r="P34" s="203">
        <f t="shared" si="9"/>
        <v>-1.0228188698036718</v>
      </c>
      <c r="Q34" s="203">
        <f t="shared" si="9"/>
        <v>-1.1221499048802741</v>
      </c>
      <c r="R34" s="203">
        <f t="shared" si="9"/>
        <v>0</v>
      </c>
    </row>
    <row r="35" spans="1:18" ht="15" customHeight="1" outlineLevel="1">
      <c r="A35" s="83"/>
      <c r="B35" s="83"/>
      <c r="C35" s="84"/>
      <c r="D35" s="85"/>
      <c r="E35" s="166"/>
      <c r="F35" s="27"/>
      <c r="G35" s="27"/>
      <c r="H35" s="27"/>
      <c r="I35" s="23"/>
      <c r="J35" s="23"/>
      <c r="K35" s="131"/>
      <c r="L35" s="126"/>
      <c r="M35" s="126"/>
      <c r="N35" s="126"/>
      <c r="O35" s="126"/>
      <c r="P35" s="126"/>
      <c r="Q35" s="126"/>
      <c r="R35" s="126"/>
    </row>
    <row r="36" spans="1:18" ht="15" customHeight="1" outlineLevel="1">
      <c r="A36" s="83"/>
      <c r="B36" s="83" t="s">
        <v>181</v>
      </c>
      <c r="C36" s="84"/>
      <c r="D36" s="85"/>
      <c r="E36" s="166"/>
      <c r="F36" s="27"/>
      <c r="G36" s="27"/>
      <c r="H36" s="27"/>
      <c r="I36" s="23"/>
      <c r="J36" s="23"/>
      <c r="K36" s="131"/>
      <c r="L36" s="126"/>
      <c r="M36" s="126"/>
      <c r="N36" s="126"/>
      <c r="O36" s="126"/>
      <c r="P36" s="126"/>
      <c r="Q36" s="126"/>
      <c r="R36" s="126"/>
    </row>
    <row r="37" spans="1:18" ht="15" customHeight="1" outlineLevel="1">
      <c r="A37" s="83"/>
      <c r="B37" s="83"/>
      <c r="C37" s="84"/>
      <c r="D37" s="85"/>
      <c r="E37" s="166"/>
      <c r="F37" s="27"/>
      <c r="G37" s="27"/>
      <c r="H37" s="27"/>
      <c r="I37" s="23"/>
      <c r="J37" s="23"/>
      <c r="K37" s="131"/>
      <c r="L37" s="126"/>
      <c r="M37" s="126"/>
      <c r="N37" s="126"/>
      <c r="O37" s="126"/>
      <c r="P37" s="126"/>
      <c r="Q37" s="126"/>
      <c r="R37" s="126"/>
    </row>
    <row r="38" spans="1:18" ht="15" customHeight="1" outlineLevel="1">
      <c r="A38" s="103"/>
      <c r="B38" s="83"/>
      <c r="C38" s="104"/>
      <c r="D38" s="85"/>
      <c r="E38" s="160" t="str">
        <f xml:space="preserve"> InputsR!E$23</f>
        <v>Discount rate</v>
      </c>
      <c r="F38" s="160">
        <f xml:space="preserve"> InputsR!F$23</f>
        <v>2.92E-2</v>
      </c>
      <c r="G38" s="160" t="str">
        <f xml:space="preserve"> InputsR!G$23</f>
        <v>%</v>
      </c>
      <c r="H38" s="160">
        <f xml:space="preserve"> InputsR!H$23</f>
        <v>0</v>
      </c>
      <c r="I38" s="160">
        <f xml:space="preserve"> InputsR!I$23</f>
        <v>0</v>
      </c>
      <c r="J38" s="160">
        <f xml:space="preserve"> InputsR!J$23</f>
        <v>0</v>
      </c>
      <c r="K38" s="160">
        <f xml:space="preserve"> InputsR!K$23</f>
        <v>0</v>
      </c>
      <c r="L38" s="160">
        <f xml:space="preserve"> InputsR!L$23</f>
        <v>0</v>
      </c>
      <c r="M38" s="160">
        <f xml:space="preserve"> InputsR!M$23</f>
        <v>0</v>
      </c>
      <c r="N38" s="160">
        <f xml:space="preserve"> InputsR!N$23</f>
        <v>0</v>
      </c>
      <c r="O38" s="160">
        <f xml:space="preserve"> InputsR!O$23</f>
        <v>0</v>
      </c>
      <c r="P38" s="160">
        <f xml:space="preserve"> InputsR!P$23</f>
        <v>0</v>
      </c>
      <c r="Q38" s="160">
        <f xml:space="preserve"> InputsR!Q$23</f>
        <v>0</v>
      </c>
      <c r="R38" s="160">
        <f xml:space="preserve"> InputsR!R$23</f>
        <v>0</v>
      </c>
    </row>
    <row r="39" spans="1:18" ht="15" customHeight="1" outlineLevel="1">
      <c r="A39" s="200"/>
      <c r="B39" s="208"/>
      <c r="C39" s="201"/>
      <c r="D39" s="205"/>
      <c r="E39" s="209" t="str">
        <f xml:space="preserve"> Time!E$50</f>
        <v>Forecast Period Flag</v>
      </c>
      <c r="F39" s="209">
        <f xml:space="preserve"> Time!F$50</f>
        <v>0</v>
      </c>
      <c r="G39" s="209" t="str">
        <f xml:space="preserve"> Time!G$50</f>
        <v>flag</v>
      </c>
      <c r="H39" s="209">
        <f xml:space="preserve"> Time!H$50</f>
        <v>5</v>
      </c>
      <c r="I39" s="209">
        <f xml:space="preserve"> Time!I$50</f>
        <v>0</v>
      </c>
      <c r="J39" s="209">
        <f xml:space="preserve"> Time!J$50</f>
        <v>0</v>
      </c>
      <c r="K39" s="209">
        <f xml:space="preserve"> Time!K$50</f>
        <v>0</v>
      </c>
      <c r="L39" s="209">
        <f xml:space="preserve"> Time!L$50</f>
        <v>0</v>
      </c>
      <c r="M39" s="209">
        <f xml:space="preserve"> Time!M$50</f>
        <v>0</v>
      </c>
      <c r="N39" s="209">
        <f xml:space="preserve"> Time!N$50</f>
        <v>1</v>
      </c>
      <c r="O39" s="209">
        <f xml:space="preserve"> Time!O$50</f>
        <v>1</v>
      </c>
      <c r="P39" s="209">
        <f xml:space="preserve"> Time!P$50</f>
        <v>1</v>
      </c>
      <c r="Q39" s="209">
        <f xml:space="preserve"> Time!Q$50</f>
        <v>1</v>
      </c>
      <c r="R39" s="209">
        <f xml:space="preserve"> Time!R$50</f>
        <v>1</v>
      </c>
    </row>
    <row r="40" spans="1:18" ht="15" customHeight="1" outlineLevel="1">
      <c r="A40" s="208"/>
      <c r="B40" s="208"/>
      <c r="C40" s="201"/>
      <c r="D40" s="205"/>
      <c r="E40" s="202" t="str">
        <f xml:space="preserve"> E$34</f>
        <v>Revenue imbalance</v>
      </c>
      <c r="F40" s="202">
        <f t="shared" ref="F40:R40" si="10" xml:space="preserve"> F$34</f>
        <v>0</v>
      </c>
      <c r="G40" s="202" t="str">
        <f t="shared" si="10"/>
        <v>£m</v>
      </c>
      <c r="H40" s="202">
        <f t="shared" si="10"/>
        <v>-12.791874457056451</v>
      </c>
      <c r="I40" s="202">
        <f t="shared" si="10"/>
        <v>0</v>
      </c>
      <c r="J40" s="202">
        <f t="shared" si="10"/>
        <v>0</v>
      </c>
      <c r="K40" s="202">
        <f t="shared" si="10"/>
        <v>0</v>
      </c>
      <c r="L40" s="202">
        <f t="shared" si="10"/>
        <v>0</v>
      </c>
      <c r="M40" s="202">
        <f t="shared" si="10"/>
        <v>0</v>
      </c>
      <c r="N40" s="202">
        <f t="shared" si="10"/>
        <v>-6.7034697056679704</v>
      </c>
      <c r="O40" s="202">
        <f t="shared" si="10"/>
        <v>-3.9434359767045351</v>
      </c>
      <c r="P40" s="202">
        <f t="shared" si="10"/>
        <v>-1.0228188698036718</v>
      </c>
      <c r="Q40" s="202">
        <f t="shared" si="10"/>
        <v>-1.1221499048802741</v>
      </c>
      <c r="R40" s="202">
        <f t="shared" si="10"/>
        <v>0</v>
      </c>
    </row>
    <row r="41" spans="1:18" ht="15" customHeight="1" outlineLevel="1">
      <c r="A41" s="83"/>
      <c r="B41" s="83"/>
      <c r="C41" s="104"/>
      <c r="D41" s="85"/>
      <c r="E41" s="166" t="s">
        <v>182</v>
      </c>
      <c r="F41" s="173"/>
      <c r="G41" s="173" t="s">
        <v>107</v>
      </c>
      <c r="H41" s="173">
        <f xml:space="preserve"> SUM(J41:W41)</f>
        <v>-13.549826789185612</v>
      </c>
      <c r="I41" s="203"/>
      <c r="J41" s="203">
        <f xml:space="preserve"> IF( J39 = 1, J40 * (  1 + $F38 ) * ( 1 + $F38 ), 0)</f>
        <v>0</v>
      </c>
      <c r="K41" s="203">
        <f t="shared" ref="K41:R41" si="11" xml:space="preserve"> IF( K39 = 1, K40 * (  1 + $F38 ) * ( 1 + $F38 ), 0)</f>
        <v>0</v>
      </c>
      <c r="L41" s="203">
        <f t="shared" si="11"/>
        <v>0</v>
      </c>
      <c r="M41" s="203">
        <f t="shared" si="11"/>
        <v>0</v>
      </c>
      <c r="N41" s="203">
        <f t="shared" si="11"/>
        <v>-7.1006679828888197</v>
      </c>
      <c r="O41" s="203">
        <f t="shared" si="11"/>
        <v>-4.1770949689952568</v>
      </c>
      <c r="P41" s="203">
        <f t="shared" si="11"/>
        <v>-1.0834235880813554</v>
      </c>
      <c r="Q41" s="203">
        <f t="shared" si="11"/>
        <v>-1.1886402492201791</v>
      </c>
      <c r="R41" s="203">
        <f t="shared" si="11"/>
        <v>0</v>
      </c>
    </row>
    <row r="42" spans="1:18" ht="15" customHeight="1" outlineLevel="1">
      <c r="A42" s="83"/>
      <c r="B42" s="83"/>
      <c r="C42" s="84"/>
      <c r="D42" s="85"/>
      <c r="E42" s="166"/>
      <c r="F42" s="27"/>
      <c r="G42" s="27"/>
      <c r="H42" s="27"/>
      <c r="I42" s="23"/>
      <c r="J42" s="131"/>
      <c r="K42" s="131"/>
      <c r="L42" s="126"/>
      <c r="M42" s="126"/>
      <c r="N42" s="126"/>
      <c r="O42" s="126"/>
      <c r="P42" s="126"/>
      <c r="Q42" s="126"/>
      <c r="R42" s="126"/>
    </row>
    <row r="43" spans="1:18" ht="15" customHeight="1" outlineLevel="1">
      <c r="A43" s="200"/>
      <c r="B43" s="208"/>
      <c r="C43" s="201"/>
      <c r="D43" s="205"/>
      <c r="E43" s="209" t="str">
        <f xml:space="preserve"> Index!E$26</f>
        <v>CPIH Nov-Nov - percentage increase - CALC</v>
      </c>
      <c r="F43" s="193">
        <f xml:space="preserve"> Index!F$26</f>
        <v>0</v>
      </c>
      <c r="G43" s="193">
        <f xml:space="preserve"> Index!G$26</f>
        <v>0</v>
      </c>
      <c r="H43" s="193">
        <f xml:space="preserve"> Index!H$26</f>
        <v>0</v>
      </c>
      <c r="I43" s="193">
        <f xml:space="preserve"> Index!I$26</f>
        <v>0</v>
      </c>
      <c r="J43" s="193">
        <f xml:space="preserve"> Index!J$26</f>
        <v>0</v>
      </c>
      <c r="K43" s="193">
        <f xml:space="preserve"> Index!K$26</f>
        <v>0</v>
      </c>
      <c r="L43" s="193">
        <f xml:space="preserve"> Index!L$26</f>
        <v>1.0284872298624754</v>
      </c>
      <c r="M43" s="193">
        <f xml:space="preserve"> Index!M$26</f>
        <v>1.0210124164278893</v>
      </c>
      <c r="N43" s="193">
        <f xml:space="preserve"> Index!N$26</f>
        <v>1.0149672591206733</v>
      </c>
      <c r="O43" s="193">
        <f xml:space="preserve"> Index!O$26</f>
        <v>1.0055299539170506</v>
      </c>
      <c r="P43" s="193">
        <f xml:space="preserve"> Index!P$26</f>
        <v>1.0458295142071494</v>
      </c>
      <c r="Q43" s="193">
        <f xml:space="preserve"> Index!Q$26</f>
        <v>1.0937773882559159</v>
      </c>
      <c r="R43" s="193">
        <f xml:space="preserve"> Index!R$26</f>
        <v>1.0416666666666667</v>
      </c>
    </row>
    <row r="44" spans="1:18" ht="15" customHeight="1" outlineLevel="1">
      <c r="A44" s="200"/>
      <c r="B44" s="208"/>
      <c r="C44" s="201"/>
      <c r="D44" s="205"/>
      <c r="E44" s="209" t="str">
        <f xml:space="preserve"> Time!E$59</f>
        <v>Forecast period counter</v>
      </c>
      <c r="F44" s="209">
        <f xml:space="preserve"> Time!F$59</f>
        <v>0</v>
      </c>
      <c r="G44" s="209" t="str">
        <f xml:space="preserve"> Time!G$59</f>
        <v>counter</v>
      </c>
      <c r="H44" s="209">
        <f xml:space="preserve"> Time!H$59</f>
        <v>0</v>
      </c>
      <c r="I44" s="209">
        <f xml:space="preserve"> Time!I$59</f>
        <v>0</v>
      </c>
      <c r="J44" s="209">
        <f xml:space="preserve"> Time!J$59</f>
        <v>0</v>
      </c>
      <c r="K44" s="209">
        <f xml:space="preserve"> Time!K$59</f>
        <v>0</v>
      </c>
      <c r="L44" s="209">
        <f xml:space="preserve"> Time!L$59</f>
        <v>0</v>
      </c>
      <c r="M44" s="209">
        <f xml:space="preserve"> Time!M$59</f>
        <v>0</v>
      </c>
      <c r="N44" s="209">
        <f xml:space="preserve"> Time!N$59</f>
        <v>1</v>
      </c>
      <c r="O44" s="209">
        <f xml:space="preserve"> Time!O$59</f>
        <v>2</v>
      </c>
      <c r="P44" s="209">
        <f xml:space="preserve"> Time!P$59</f>
        <v>3</v>
      </c>
      <c r="Q44" s="209">
        <f xml:space="preserve"> Time!Q$59</f>
        <v>4</v>
      </c>
      <c r="R44" s="209">
        <f xml:space="preserve"> Time!R$59</f>
        <v>5</v>
      </c>
    </row>
    <row r="45" spans="1:18" ht="15" customHeight="1" outlineLevel="1">
      <c r="A45" s="83"/>
      <c r="B45" s="83"/>
      <c r="C45" s="84"/>
      <c r="D45" s="85"/>
      <c r="E45" s="173" t="str">
        <f xml:space="preserve"> E$41</f>
        <v>Bioresources revenue adjustment (ABR) - with financing adjustment</v>
      </c>
      <c r="F45" s="173">
        <f t="shared" ref="F45:R45" si="12" xml:space="preserve"> F$41</f>
        <v>0</v>
      </c>
      <c r="G45" s="173" t="str">
        <f t="shared" si="12"/>
        <v>£m</v>
      </c>
      <c r="H45" s="173">
        <f t="shared" si="12"/>
        <v>-13.549826789185612</v>
      </c>
      <c r="I45" s="173">
        <f t="shared" si="12"/>
        <v>0</v>
      </c>
      <c r="J45" s="173">
        <f t="shared" si="12"/>
        <v>0</v>
      </c>
      <c r="K45" s="173">
        <f t="shared" si="12"/>
        <v>0</v>
      </c>
      <c r="L45" s="173">
        <f t="shared" si="12"/>
        <v>0</v>
      </c>
      <c r="M45" s="173">
        <f t="shared" si="12"/>
        <v>0</v>
      </c>
      <c r="N45" s="173">
        <f t="shared" si="12"/>
        <v>-7.1006679828888197</v>
      </c>
      <c r="O45" s="173">
        <f t="shared" si="12"/>
        <v>-4.1770949689952568</v>
      </c>
      <c r="P45" s="173">
        <f t="shared" si="12"/>
        <v>-1.0834235880813554</v>
      </c>
      <c r="Q45" s="173">
        <f t="shared" si="12"/>
        <v>-1.1886402492201791</v>
      </c>
      <c r="R45" s="173">
        <f t="shared" si="12"/>
        <v>0</v>
      </c>
    </row>
    <row r="46" spans="1:18" ht="15" customHeight="1" outlineLevel="1" thickBot="1">
      <c r="A46" s="83"/>
      <c r="B46" s="83"/>
      <c r="C46" s="84"/>
      <c r="D46" s="85"/>
      <c r="E46" s="210" t="s">
        <v>183</v>
      </c>
      <c r="F46" s="211"/>
      <c r="G46" s="211" t="s">
        <v>107</v>
      </c>
      <c r="H46" s="244">
        <f xml:space="preserve"> SUM(J46:W46)</f>
        <v>-13.479752765472956</v>
      </c>
      <c r="I46" s="245"/>
      <c r="J46" s="244">
        <f xml:space="preserve"> IF( J44 &lt; 4, J45 * K43 * L43, 0 )</f>
        <v>0</v>
      </c>
      <c r="K46" s="244">
        <f t="shared" ref="K46:R46" si="13" xml:space="preserve"> IF( K44 &lt; 4, K45 * L43 * M43, 0 )</f>
        <v>0</v>
      </c>
      <c r="L46" s="244">
        <f t="shared" si="13"/>
        <v>0</v>
      </c>
      <c r="M46" s="244">
        <f t="shared" si="13"/>
        <v>0</v>
      </c>
      <c r="N46" s="244">
        <f t="shared" si="13"/>
        <v>-7.4671540723282428</v>
      </c>
      <c r="O46" s="244">
        <f t="shared" si="13"/>
        <v>-4.7781984613254638</v>
      </c>
      <c r="P46" s="244">
        <f t="shared" si="13"/>
        <v>-1.2344002318192482</v>
      </c>
      <c r="Q46" s="244">
        <f t="shared" si="13"/>
        <v>0</v>
      </c>
      <c r="R46" s="244">
        <f t="shared" si="13"/>
        <v>0</v>
      </c>
    </row>
    <row r="47" spans="1:18" ht="15" customHeight="1" outlineLevel="1" thickTop="1">
      <c r="A47" s="83"/>
      <c r="B47" s="83"/>
      <c r="C47" s="84"/>
      <c r="D47" s="85"/>
      <c r="E47" s="166"/>
      <c r="F47" s="27"/>
      <c r="G47" s="27"/>
      <c r="H47" s="205"/>
      <c r="I47" s="212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1:18" ht="15" customHeight="1" outlineLevel="1">
      <c r="A48" s="164"/>
      <c r="B48" s="164" t="s">
        <v>184</v>
      </c>
      <c r="C48" s="165"/>
      <c r="D48" s="194"/>
      <c r="E48" s="166"/>
      <c r="F48" s="166"/>
      <c r="G48" s="166"/>
      <c r="H48" s="166"/>
      <c r="I48" s="23"/>
      <c r="J48" s="131"/>
      <c r="K48" s="131"/>
      <c r="L48" s="126"/>
      <c r="M48" s="126"/>
      <c r="N48" s="126"/>
      <c r="O48" s="126"/>
      <c r="P48" s="126"/>
      <c r="Q48" s="126"/>
      <c r="R48" s="126"/>
    </row>
    <row r="49" spans="1:18" ht="15" customHeight="1" outlineLevel="1">
      <c r="A49" s="164"/>
      <c r="B49" s="164"/>
      <c r="C49" s="165"/>
      <c r="D49" s="194"/>
      <c r="E49" s="166"/>
      <c r="F49" s="166"/>
      <c r="G49" s="166"/>
      <c r="H49" s="166"/>
      <c r="I49" s="23"/>
      <c r="J49" s="131"/>
      <c r="K49" s="131"/>
      <c r="L49" s="126"/>
      <c r="M49" s="126"/>
      <c r="N49" s="126"/>
      <c r="O49" s="126"/>
      <c r="P49" s="126"/>
      <c r="Q49" s="126"/>
      <c r="R49" s="126"/>
    </row>
    <row r="50" spans="1:18" ht="15" customHeight="1" outlineLevel="1">
      <c r="A50" s="200"/>
      <c r="B50" s="208"/>
      <c r="C50" s="201"/>
      <c r="D50" s="205"/>
      <c r="E50" s="209" t="str">
        <f xml:space="preserve"> Index!E$26</f>
        <v>CPIH Nov-Nov - percentage increase - CALC</v>
      </c>
      <c r="F50" s="193">
        <f xml:space="preserve"> Index!F$26</f>
        <v>0</v>
      </c>
      <c r="G50" s="193">
        <f xml:space="preserve"> Index!G$26</f>
        <v>0</v>
      </c>
      <c r="H50" s="193">
        <f xml:space="preserve"> Index!H$26</f>
        <v>0</v>
      </c>
      <c r="I50" s="193">
        <f xml:space="preserve"> Index!I$26</f>
        <v>0</v>
      </c>
      <c r="J50" s="193">
        <f xml:space="preserve"> Index!J$26</f>
        <v>0</v>
      </c>
      <c r="K50" s="193">
        <f xml:space="preserve"> Index!K$26</f>
        <v>0</v>
      </c>
      <c r="L50" s="193">
        <f xml:space="preserve"> Index!L$26</f>
        <v>1.0284872298624754</v>
      </c>
      <c r="M50" s="193">
        <f xml:space="preserve"> Index!M$26</f>
        <v>1.0210124164278893</v>
      </c>
      <c r="N50" s="193">
        <f xml:space="preserve"> Index!N$26</f>
        <v>1.0149672591206733</v>
      </c>
      <c r="O50" s="193">
        <f xml:space="preserve"> Index!O$26</f>
        <v>1.0055299539170506</v>
      </c>
      <c r="P50" s="193">
        <f xml:space="preserve"> Index!P$26</f>
        <v>1.0458295142071494</v>
      </c>
      <c r="Q50" s="193">
        <f xml:space="preserve"> Index!Q$26</f>
        <v>1.0937773882559159</v>
      </c>
      <c r="R50" s="193">
        <f xml:space="preserve"> Index!R$26</f>
        <v>1.0416666666666667</v>
      </c>
    </row>
    <row r="51" spans="1:18" ht="15" customHeight="1" outlineLevel="1">
      <c r="A51" s="200"/>
      <c r="B51" s="208"/>
      <c r="C51" s="201"/>
      <c r="D51" s="205"/>
      <c r="E51" s="209" t="str">
        <f xml:space="preserve"> Time!E$59</f>
        <v>Forecast period counter</v>
      </c>
      <c r="F51" s="209">
        <f xml:space="preserve"> Time!F$59</f>
        <v>0</v>
      </c>
      <c r="G51" s="209" t="str">
        <f xml:space="preserve"> Time!G$59</f>
        <v>counter</v>
      </c>
      <c r="H51" s="209">
        <f xml:space="preserve"> Time!H$59</f>
        <v>0</v>
      </c>
      <c r="I51" s="209">
        <f xml:space="preserve"> Time!I$59</f>
        <v>0</v>
      </c>
      <c r="J51" s="209">
        <f xml:space="preserve"> Time!J$59</f>
        <v>0</v>
      </c>
      <c r="K51" s="209">
        <f xml:space="preserve"> Time!K$59</f>
        <v>0</v>
      </c>
      <c r="L51" s="209">
        <f xml:space="preserve"> Time!L$59</f>
        <v>0</v>
      </c>
      <c r="M51" s="209">
        <f xml:space="preserve"> Time!M$59</f>
        <v>0</v>
      </c>
      <c r="N51" s="209">
        <f xml:space="preserve"> Time!N$59</f>
        <v>1</v>
      </c>
      <c r="O51" s="209">
        <f xml:space="preserve"> Time!O$59</f>
        <v>2</v>
      </c>
      <c r="P51" s="209">
        <f xml:space="preserve"> Time!P$59</f>
        <v>3</v>
      </c>
      <c r="Q51" s="209">
        <f xml:space="preserve"> Time!Q$59</f>
        <v>4</v>
      </c>
      <c r="R51" s="209">
        <f xml:space="preserve"> Time!R$59</f>
        <v>5</v>
      </c>
    </row>
    <row r="52" spans="1:18" ht="15" customHeight="1" outlineLevel="1">
      <c r="A52" s="23"/>
      <c r="B52" s="23"/>
      <c r="C52" s="25"/>
      <c r="D52" s="213"/>
      <c r="E52" s="214" t="str">
        <f xml:space="preserve"> InputsR!E$21</f>
        <v>Profit from bioresources trading</v>
      </c>
      <c r="F52" s="214">
        <f xml:space="preserve"> InputsR!F$21</f>
        <v>0</v>
      </c>
      <c r="G52" s="214" t="str">
        <f xml:space="preserve"> InputsR!G$21</f>
        <v>£m</v>
      </c>
      <c r="H52" s="261">
        <f xml:space="preserve"> InputsR!H$21</f>
        <v>0</v>
      </c>
      <c r="I52" s="261">
        <f xml:space="preserve"> InputsR!I$21</f>
        <v>0</v>
      </c>
      <c r="J52" s="261">
        <f xml:space="preserve"> InputsR!J$21</f>
        <v>0</v>
      </c>
      <c r="K52" s="261">
        <f xml:space="preserve"> InputsR!K$21</f>
        <v>0</v>
      </c>
      <c r="L52" s="261">
        <f xml:space="preserve"> InputsR!L$21</f>
        <v>0</v>
      </c>
      <c r="M52" s="261">
        <f xml:space="preserve"> InputsR!M$21</f>
        <v>0</v>
      </c>
      <c r="N52" s="261">
        <f xml:space="preserve"> InputsR!N$21</f>
        <v>0</v>
      </c>
      <c r="O52" s="261">
        <f xml:space="preserve"> InputsR!O$21</f>
        <v>0</v>
      </c>
      <c r="P52" s="261">
        <f xml:space="preserve"> InputsR!P$21</f>
        <v>0</v>
      </c>
      <c r="Q52" s="261">
        <f xml:space="preserve"> InputsR!Q$21</f>
        <v>0</v>
      </c>
      <c r="R52" s="261">
        <f xml:space="preserve"> InputsR!R$21</f>
        <v>0</v>
      </c>
    </row>
    <row r="53" spans="1:18" ht="15" customHeight="1" outlineLevel="1" thickBot="1">
      <c r="A53" s="215"/>
      <c r="B53" s="215"/>
      <c r="C53" s="216"/>
      <c r="D53" s="202"/>
      <c r="E53" s="217" t="s">
        <v>185</v>
      </c>
      <c r="F53" s="217"/>
      <c r="G53" s="217" t="s">
        <v>107</v>
      </c>
      <c r="H53" s="244">
        <f xml:space="preserve"> SUM(J53:W53)</f>
        <v>0</v>
      </c>
      <c r="I53" s="217"/>
      <c r="J53" s="244">
        <f xml:space="preserve"> IF( J51 &lt; 4, J52 * K50 * L50, 0 )</f>
        <v>0</v>
      </c>
      <c r="K53" s="244">
        <f t="shared" ref="K53:R53" si="14" xml:space="preserve"> IF( K51 &lt; 4, K52 * L50 * M50, 0 )</f>
        <v>0</v>
      </c>
      <c r="L53" s="244">
        <f t="shared" si="14"/>
        <v>0</v>
      </c>
      <c r="M53" s="244">
        <f t="shared" si="14"/>
        <v>0</v>
      </c>
      <c r="N53" s="244">
        <f t="shared" si="14"/>
        <v>0</v>
      </c>
      <c r="O53" s="244">
        <f t="shared" si="14"/>
        <v>0</v>
      </c>
      <c r="P53" s="244">
        <f t="shared" si="14"/>
        <v>0</v>
      </c>
      <c r="Q53" s="244">
        <f t="shared" si="14"/>
        <v>0</v>
      </c>
      <c r="R53" s="244">
        <f t="shared" si="14"/>
        <v>0</v>
      </c>
    </row>
    <row r="54" spans="1:18" ht="15" customHeight="1" outlineLevel="1" thickTop="1">
      <c r="A54" s="195"/>
      <c r="B54" s="195"/>
      <c r="C54" s="196"/>
      <c r="D54" s="218"/>
      <c r="E54" s="219"/>
      <c r="F54" s="219"/>
      <c r="G54" s="21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outlineLevel="1">
      <c r="A55" s="164"/>
      <c r="B55" s="164" t="s">
        <v>186</v>
      </c>
      <c r="C55" s="165"/>
      <c r="D55" s="194"/>
      <c r="E55" s="166"/>
      <c r="F55" s="166"/>
      <c r="G55" s="166"/>
      <c r="H55" s="166"/>
      <c r="I55" s="23"/>
      <c r="J55" s="23"/>
      <c r="K55" s="131"/>
      <c r="L55" s="126"/>
      <c r="M55" s="126"/>
      <c r="N55" s="126"/>
      <c r="O55" s="126"/>
      <c r="P55" s="126"/>
      <c r="Q55" s="126"/>
      <c r="R55" s="126"/>
    </row>
    <row r="56" spans="1:18" ht="15" customHeight="1" outlineLevel="1">
      <c r="A56" s="164"/>
      <c r="B56" s="164"/>
      <c r="C56" s="165"/>
      <c r="D56" s="194"/>
      <c r="E56" s="166"/>
      <c r="F56" s="166"/>
      <c r="G56" s="166"/>
      <c r="H56" s="166"/>
      <c r="I56" s="23"/>
      <c r="J56" s="23"/>
      <c r="K56" s="131"/>
      <c r="L56" s="126"/>
      <c r="M56" s="126"/>
      <c r="N56" s="126"/>
      <c r="O56" s="126"/>
      <c r="P56" s="126"/>
      <c r="Q56" s="126"/>
      <c r="R56" s="126"/>
    </row>
    <row r="57" spans="1:18" ht="15" customHeight="1" outlineLevel="1">
      <c r="A57" s="23"/>
      <c r="B57" s="23"/>
      <c r="C57" s="25"/>
      <c r="D57" s="213"/>
      <c r="E57" s="203" t="str">
        <f xml:space="preserve"> E$46</f>
        <v>Bioresources revenue adjustment (ABR) - with financing adjustment &amp; 2 year lag of inflation</v>
      </c>
      <c r="F57" s="203">
        <f t="shared" ref="F57:R57" si="15" xml:space="preserve"> F$46</f>
        <v>0</v>
      </c>
      <c r="G57" s="203" t="str">
        <f t="shared" si="15"/>
        <v>£m</v>
      </c>
      <c r="H57" s="203">
        <f t="shared" si="15"/>
        <v>-13.479752765472956</v>
      </c>
      <c r="I57" s="203">
        <f t="shared" si="15"/>
        <v>0</v>
      </c>
      <c r="J57" s="203">
        <f t="shared" si="15"/>
        <v>0</v>
      </c>
      <c r="K57" s="203">
        <f t="shared" si="15"/>
        <v>0</v>
      </c>
      <c r="L57" s="203">
        <f t="shared" si="15"/>
        <v>0</v>
      </c>
      <c r="M57" s="203">
        <f t="shared" si="15"/>
        <v>0</v>
      </c>
      <c r="N57" s="203">
        <f t="shared" si="15"/>
        <v>-7.4671540723282428</v>
      </c>
      <c r="O57" s="203">
        <f t="shared" si="15"/>
        <v>-4.7781984613254638</v>
      </c>
      <c r="P57" s="203">
        <f t="shared" si="15"/>
        <v>-1.2344002318192482</v>
      </c>
      <c r="Q57" s="203">
        <f t="shared" si="15"/>
        <v>0</v>
      </c>
      <c r="R57" s="203">
        <f t="shared" si="15"/>
        <v>0</v>
      </c>
    </row>
    <row r="58" spans="1:18" ht="15" customHeight="1" outlineLevel="1">
      <c r="A58" s="23"/>
      <c r="B58" s="23"/>
      <c r="C58" s="25"/>
      <c r="D58" s="213"/>
      <c r="E58" s="203" t="str">
        <f xml:space="preserve"> E$53</f>
        <v>Profit from bioresources trading - with 2 year lag of inflation</v>
      </c>
      <c r="F58" s="203">
        <f t="shared" ref="F58:R58" si="16" xml:space="preserve"> F$53</f>
        <v>0</v>
      </c>
      <c r="G58" s="203" t="str">
        <f t="shared" si="16"/>
        <v>£m</v>
      </c>
      <c r="H58" s="203">
        <f t="shared" si="16"/>
        <v>0</v>
      </c>
      <c r="I58" s="203">
        <f t="shared" si="16"/>
        <v>0</v>
      </c>
      <c r="J58" s="203">
        <f t="shared" si="16"/>
        <v>0</v>
      </c>
      <c r="K58" s="203">
        <f t="shared" si="16"/>
        <v>0</v>
      </c>
      <c r="L58" s="203">
        <f t="shared" si="16"/>
        <v>0</v>
      </c>
      <c r="M58" s="203">
        <f t="shared" si="16"/>
        <v>0</v>
      </c>
      <c r="N58" s="203">
        <f t="shared" si="16"/>
        <v>0</v>
      </c>
      <c r="O58" s="203">
        <f t="shared" si="16"/>
        <v>0</v>
      </c>
      <c r="P58" s="203">
        <f t="shared" si="16"/>
        <v>0</v>
      </c>
      <c r="Q58" s="203">
        <f t="shared" si="16"/>
        <v>0</v>
      </c>
      <c r="R58" s="203">
        <f t="shared" si="16"/>
        <v>0</v>
      </c>
    </row>
    <row r="59" spans="1:18" ht="15" customHeight="1" outlineLevel="1" thickBot="1">
      <c r="A59" s="221"/>
      <c r="B59" s="221"/>
      <c r="C59" s="221"/>
      <c r="D59" s="222"/>
      <c r="E59" s="223" t="s">
        <v>187</v>
      </c>
      <c r="F59" s="224"/>
      <c r="G59" s="225" t="s">
        <v>107</v>
      </c>
      <c r="H59" s="244">
        <f xml:space="preserve"> SUM(J59:W59)</f>
        <v>13.479752765472956</v>
      </c>
      <c r="I59" s="223"/>
      <c r="J59" s="223">
        <f xml:space="preserve"> - J57 - J58</f>
        <v>0</v>
      </c>
      <c r="K59" s="223">
        <f t="shared" ref="K59:R59" si="17" xml:space="preserve"> - K57 - K58</f>
        <v>0</v>
      </c>
      <c r="L59" s="223">
        <f t="shared" si="17"/>
        <v>0</v>
      </c>
      <c r="M59" s="223">
        <f t="shared" si="17"/>
        <v>0</v>
      </c>
      <c r="N59" s="223">
        <f xml:space="preserve"> - N57 - N58</f>
        <v>7.4671540723282428</v>
      </c>
      <c r="O59" s="223">
        <f t="shared" si="17"/>
        <v>4.7781984613254638</v>
      </c>
      <c r="P59" s="223">
        <f t="shared" si="17"/>
        <v>1.2344002318192482</v>
      </c>
      <c r="Q59" s="223">
        <f t="shared" si="17"/>
        <v>0</v>
      </c>
      <c r="R59" s="223">
        <f t="shared" si="17"/>
        <v>0</v>
      </c>
    </row>
    <row r="60" spans="1:18" ht="15" customHeight="1" outlineLevel="1" thickTop="1">
      <c r="A60" s="226"/>
      <c r="B60" s="226"/>
      <c r="C60" s="186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</row>
    <row r="61" spans="1:18" ht="15" customHeight="1" outlineLevel="1">
      <c r="A61" s="164"/>
      <c r="B61" s="164" t="s">
        <v>188</v>
      </c>
      <c r="C61" s="165"/>
      <c r="D61" s="194"/>
      <c r="E61" s="166"/>
      <c r="F61" s="166"/>
      <c r="G61" s="166"/>
      <c r="H61" s="166"/>
      <c r="I61" s="23"/>
      <c r="J61" s="131"/>
      <c r="K61" s="131"/>
      <c r="L61" s="126"/>
      <c r="M61" s="126"/>
      <c r="N61" s="126"/>
      <c r="O61" s="126"/>
      <c r="P61" s="126"/>
      <c r="Q61" s="126"/>
      <c r="R61" s="126"/>
    </row>
    <row r="62" spans="1:18" ht="15" customHeight="1" outlineLevel="1">
      <c r="A62" s="164"/>
      <c r="B62" s="164"/>
      <c r="C62" s="165"/>
      <c r="D62" s="194"/>
      <c r="E62" s="166"/>
      <c r="F62" s="166"/>
      <c r="G62" s="166"/>
      <c r="H62" s="166"/>
      <c r="I62" s="23"/>
      <c r="J62" s="131"/>
      <c r="K62" s="131"/>
      <c r="L62" s="126"/>
      <c r="M62" s="126"/>
      <c r="N62" s="126"/>
      <c r="O62" s="126"/>
      <c r="P62" s="126"/>
      <c r="Q62" s="126"/>
      <c r="R62" s="126"/>
    </row>
    <row r="63" spans="1:18" ht="15" customHeight="1" outlineLevel="1">
      <c r="A63" s="23"/>
      <c r="B63" s="23"/>
      <c r="C63" s="25"/>
      <c r="D63" s="213"/>
      <c r="E63" s="203" t="str">
        <f xml:space="preserve"> E$59</f>
        <v>Total revenue adjustment</v>
      </c>
      <c r="F63" s="203">
        <f t="shared" ref="F63:R63" si="18" xml:space="preserve"> F$59</f>
        <v>0</v>
      </c>
      <c r="G63" s="203" t="str">
        <f t="shared" si="18"/>
        <v>£m</v>
      </c>
      <c r="H63" s="203">
        <f t="shared" si="18"/>
        <v>13.479752765472956</v>
      </c>
      <c r="I63" s="203">
        <f t="shared" si="18"/>
        <v>0</v>
      </c>
      <c r="J63" s="203">
        <f t="shared" si="18"/>
        <v>0</v>
      </c>
      <c r="K63" s="203">
        <f t="shared" si="18"/>
        <v>0</v>
      </c>
      <c r="L63" s="203">
        <f t="shared" si="18"/>
        <v>0</v>
      </c>
      <c r="M63" s="203">
        <f t="shared" si="18"/>
        <v>0</v>
      </c>
      <c r="N63" s="203">
        <f t="shared" si="18"/>
        <v>7.4671540723282428</v>
      </c>
      <c r="O63" s="203">
        <f t="shared" si="18"/>
        <v>4.7781984613254638</v>
      </c>
      <c r="P63" s="203">
        <f t="shared" si="18"/>
        <v>1.2344002318192482</v>
      </c>
      <c r="Q63" s="203">
        <f t="shared" si="18"/>
        <v>0</v>
      </c>
      <c r="R63" s="203">
        <f t="shared" si="18"/>
        <v>0</v>
      </c>
    </row>
    <row r="64" spans="1:18" ht="15" customHeight="1" outlineLevel="1">
      <c r="A64" s="200"/>
      <c r="B64" s="208"/>
      <c r="C64" s="201"/>
      <c r="D64" s="205"/>
      <c r="E64" s="209" t="str">
        <f xml:space="preserve"> Time!E$50</f>
        <v>Forecast Period Flag</v>
      </c>
      <c r="F64" s="209">
        <f xml:space="preserve"> Time!F$50</f>
        <v>0</v>
      </c>
      <c r="G64" s="209" t="str">
        <f xml:space="preserve"> Time!G$50</f>
        <v>flag</v>
      </c>
      <c r="H64" s="209">
        <f xml:space="preserve"> Time!H$50</f>
        <v>5</v>
      </c>
      <c r="I64" s="209">
        <f xml:space="preserve"> Time!I$50</f>
        <v>0</v>
      </c>
      <c r="J64" s="209">
        <f xml:space="preserve"> Time!J$50</f>
        <v>0</v>
      </c>
      <c r="K64" s="209">
        <f xml:space="preserve"> Time!K$50</f>
        <v>0</v>
      </c>
      <c r="L64" s="209">
        <f xml:space="preserve"> Time!L$50</f>
        <v>0</v>
      </c>
      <c r="M64" s="209">
        <f xml:space="preserve"> Time!M$50</f>
        <v>0</v>
      </c>
      <c r="N64" s="209">
        <f xml:space="preserve"> Time!N$50</f>
        <v>1</v>
      </c>
      <c r="O64" s="209">
        <f xml:space="preserve"> Time!O$50</f>
        <v>1</v>
      </c>
      <c r="P64" s="209">
        <f xml:space="preserve"> Time!P$50</f>
        <v>1</v>
      </c>
      <c r="Q64" s="209">
        <f xml:space="preserve"> Time!Q$50</f>
        <v>1</v>
      </c>
      <c r="R64" s="209">
        <f xml:space="preserve"> Time!R$50</f>
        <v>1</v>
      </c>
    </row>
    <row r="65" spans="1:18" ht="15" customHeight="1" outlineLevel="1">
      <c r="A65" s="229"/>
      <c r="B65" s="229"/>
      <c r="C65" s="221"/>
      <c r="D65" s="222"/>
      <c r="E65" s="206" t="s">
        <v>189</v>
      </c>
      <c r="F65" s="206" t="s">
        <v>190</v>
      </c>
      <c r="G65" s="206" t="s">
        <v>107</v>
      </c>
      <c r="H65" s="246">
        <f>SUM(J65:U65)</f>
        <v>13.479752765472956</v>
      </c>
      <c r="I65" s="246"/>
      <c r="J65" s="247"/>
      <c r="K65" s="246">
        <f xml:space="preserve"> I63 * K64</f>
        <v>0</v>
      </c>
      <c r="L65" s="246">
        <f t="shared" ref="L65:R65" si="19" xml:space="preserve"> J63 * L64</f>
        <v>0</v>
      </c>
      <c r="M65" s="246">
        <f t="shared" si="19"/>
        <v>0</v>
      </c>
      <c r="N65" s="246">
        <f t="shared" si="19"/>
        <v>0</v>
      </c>
      <c r="O65" s="246">
        <f t="shared" si="19"/>
        <v>0</v>
      </c>
      <c r="P65" s="246">
        <f t="shared" si="19"/>
        <v>7.4671540723282428</v>
      </c>
      <c r="Q65" s="246">
        <f t="shared" si="19"/>
        <v>4.7781984613254638</v>
      </c>
      <c r="R65" s="246">
        <f t="shared" si="19"/>
        <v>1.2344002318192482</v>
      </c>
    </row>
    <row r="66" spans="1:18" ht="15" customHeight="1">
      <c r="A66" s="226"/>
      <c r="B66" s="226"/>
      <c r="C66" s="186"/>
      <c r="D66" s="227"/>
      <c r="E66" s="228"/>
      <c r="F66" s="203"/>
      <c r="G66" s="228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1:18" ht="15" customHeight="1">
      <c r="A67" s="80" t="s">
        <v>191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5" customHeight="1" outlineLevel="1">
      <c r="A68" s="226"/>
      <c r="B68" s="226"/>
      <c r="C68" s="186"/>
      <c r="D68" s="227"/>
      <c r="E68" s="228"/>
      <c r="F68" s="203"/>
      <c r="G68" s="228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1:18" ht="15" customHeight="1" outlineLevel="1">
      <c r="A69" s="226"/>
      <c r="B69" s="83" t="s">
        <v>192</v>
      </c>
      <c r="C69" s="186"/>
      <c r="D69" s="227"/>
      <c r="E69" s="228"/>
      <c r="F69" s="203"/>
      <c r="G69" s="228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1:18" ht="15" customHeight="1" outlineLevel="1">
      <c r="A70" s="226"/>
      <c r="B70" s="226"/>
      <c r="C70" s="186"/>
      <c r="D70" s="227"/>
      <c r="E70" s="228"/>
      <c r="F70" s="203"/>
      <c r="G70" s="228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1:18" ht="15" customHeight="1" outlineLevel="1">
      <c r="A71" s="103"/>
      <c r="B71" s="83"/>
      <c r="C71" s="104"/>
      <c r="D71" s="85"/>
      <c r="E71" s="160" t="str">
        <f xml:space="preserve"> InputsR!E$23</f>
        <v>Discount rate</v>
      </c>
      <c r="F71" s="160">
        <f xml:space="preserve"> InputsR!F$23</f>
        <v>2.92E-2</v>
      </c>
      <c r="G71" s="160" t="str">
        <f xml:space="preserve"> InputsR!G$23</f>
        <v>%</v>
      </c>
      <c r="H71" s="160">
        <f xml:space="preserve"> InputsR!H$23</f>
        <v>0</v>
      </c>
      <c r="I71" s="160">
        <f xml:space="preserve"> InputsR!I$23</f>
        <v>0</v>
      </c>
      <c r="J71" s="160">
        <f xml:space="preserve"> InputsR!J$23</f>
        <v>0</v>
      </c>
      <c r="K71" s="160">
        <f xml:space="preserve"> InputsR!K$23</f>
        <v>0</v>
      </c>
      <c r="L71" s="160">
        <f xml:space="preserve"> InputsR!L$23</f>
        <v>0</v>
      </c>
      <c r="M71" s="160">
        <f xml:space="preserve"> InputsR!M$23</f>
        <v>0</v>
      </c>
      <c r="N71" s="160">
        <f xml:space="preserve"> InputsR!N$23</f>
        <v>0</v>
      </c>
      <c r="O71" s="160">
        <f xml:space="preserve"> InputsR!O$23</f>
        <v>0</v>
      </c>
      <c r="P71" s="160">
        <f xml:space="preserve"> InputsR!P$23</f>
        <v>0</v>
      </c>
      <c r="Q71" s="160">
        <f xml:space="preserve"> InputsR!Q$23</f>
        <v>0</v>
      </c>
      <c r="R71" s="160">
        <f xml:space="preserve"> InputsR!R$23</f>
        <v>0</v>
      </c>
    </row>
    <row r="72" spans="1:18" ht="15" customHeight="1" outlineLevel="1">
      <c r="A72" s="200"/>
      <c r="B72" s="208"/>
      <c r="C72" s="201"/>
      <c r="D72" s="205"/>
      <c r="E72" s="209" t="str">
        <f xml:space="preserve"> Index!E$26</f>
        <v>CPIH Nov-Nov - percentage increase - CALC</v>
      </c>
      <c r="F72" s="193">
        <f xml:space="preserve"> Index!F$26</f>
        <v>0</v>
      </c>
      <c r="G72" s="193">
        <f xml:space="preserve"> Index!G$26</f>
        <v>0</v>
      </c>
      <c r="H72" s="193">
        <f xml:space="preserve"> Index!H$26</f>
        <v>0</v>
      </c>
      <c r="I72" s="193">
        <f xml:space="preserve"> Index!I$26</f>
        <v>0</v>
      </c>
      <c r="J72" s="193">
        <f xml:space="preserve"> Index!J$26</f>
        <v>0</v>
      </c>
      <c r="K72" s="193">
        <f xml:space="preserve"> Index!K$26</f>
        <v>0</v>
      </c>
      <c r="L72" s="193">
        <f xml:space="preserve"> Index!L$26</f>
        <v>1.0284872298624754</v>
      </c>
      <c r="M72" s="193">
        <f xml:space="preserve"> Index!M$26</f>
        <v>1.0210124164278893</v>
      </c>
      <c r="N72" s="193">
        <f xml:space="preserve"> Index!N$26</f>
        <v>1.0149672591206733</v>
      </c>
      <c r="O72" s="193">
        <f xml:space="preserve"> Index!O$26</f>
        <v>1.0055299539170506</v>
      </c>
      <c r="P72" s="193">
        <f xml:space="preserve"> Index!P$26</f>
        <v>1.0458295142071494</v>
      </c>
      <c r="Q72" s="193">
        <f xml:space="preserve"> Index!Q$26</f>
        <v>1.0937773882559159</v>
      </c>
      <c r="R72" s="193">
        <f xml:space="preserve"> Index!R$26</f>
        <v>1.0416666666666667</v>
      </c>
    </row>
    <row r="73" spans="1:18" ht="15" customHeight="1" outlineLevel="1">
      <c r="A73" s="208"/>
      <c r="B73" s="208"/>
      <c r="C73" s="201"/>
      <c r="D73" s="205"/>
      <c r="E73" s="202" t="str">
        <f xml:space="preserve"> E$40</f>
        <v>Revenue imbalance</v>
      </c>
      <c r="F73" s="202">
        <f t="shared" ref="F73:R73" si="20" xml:space="preserve"> F$40</f>
        <v>0</v>
      </c>
      <c r="G73" s="202" t="str">
        <f t="shared" si="20"/>
        <v>£m</v>
      </c>
      <c r="H73" s="202">
        <f t="shared" si="20"/>
        <v>-12.791874457056451</v>
      </c>
      <c r="I73" s="202">
        <f t="shared" si="20"/>
        <v>0</v>
      </c>
      <c r="J73" s="202">
        <f t="shared" si="20"/>
        <v>0</v>
      </c>
      <c r="K73" s="202">
        <f t="shared" si="20"/>
        <v>0</v>
      </c>
      <c r="L73" s="202">
        <f t="shared" si="20"/>
        <v>0</v>
      </c>
      <c r="M73" s="202">
        <f t="shared" si="20"/>
        <v>0</v>
      </c>
      <c r="N73" s="202">
        <f t="shared" si="20"/>
        <v>-6.7034697056679704</v>
      </c>
      <c r="O73" s="202">
        <f t="shared" si="20"/>
        <v>-3.9434359767045351</v>
      </c>
      <c r="P73" s="202">
        <f t="shared" si="20"/>
        <v>-1.0228188698036718</v>
      </c>
      <c r="Q73" s="202">
        <f t="shared" si="20"/>
        <v>-1.1221499048802741</v>
      </c>
      <c r="R73" s="202">
        <f t="shared" si="20"/>
        <v>0</v>
      </c>
    </row>
    <row r="74" spans="1:18" ht="15" customHeight="1" outlineLevel="1">
      <c r="A74" s="232"/>
      <c r="B74" s="232"/>
      <c r="C74" s="233"/>
      <c r="D74" s="220"/>
      <c r="E74" s="234" t="str">
        <f xml:space="preserve"> Time!E$46</f>
        <v>Last Forecast Period Flag</v>
      </c>
      <c r="F74" s="234">
        <f xml:space="preserve"> Time!F$46</f>
        <v>0</v>
      </c>
      <c r="G74" s="234" t="str">
        <f xml:space="preserve"> Time!G$46</f>
        <v>flag</v>
      </c>
      <c r="H74" s="234">
        <f xml:space="preserve"> Time!H$46</f>
        <v>1</v>
      </c>
      <c r="I74" s="234">
        <f xml:space="preserve"> Time!I$46</f>
        <v>0</v>
      </c>
      <c r="J74" s="234">
        <f xml:space="preserve"> Time!J$46</f>
        <v>0</v>
      </c>
      <c r="K74" s="234">
        <f xml:space="preserve"> Time!K$46</f>
        <v>0</v>
      </c>
      <c r="L74" s="234">
        <f xml:space="preserve"> Time!L$46</f>
        <v>0</v>
      </c>
      <c r="M74" s="234">
        <f xml:space="preserve"> Time!M$46</f>
        <v>0</v>
      </c>
      <c r="N74" s="234">
        <f xml:space="preserve"> Time!N$46</f>
        <v>0</v>
      </c>
      <c r="O74" s="234">
        <f xml:space="preserve"> Time!O$46</f>
        <v>0</v>
      </c>
      <c r="P74" s="234">
        <f xml:space="preserve"> Time!P$46</f>
        <v>0</v>
      </c>
      <c r="Q74" s="234">
        <f xml:space="preserve"> Time!Q$46</f>
        <v>0</v>
      </c>
      <c r="R74" s="234">
        <f xml:space="preserve"> Time!R$46</f>
        <v>1</v>
      </c>
    </row>
    <row r="75" spans="1:18" ht="15" customHeight="1" outlineLevel="1">
      <c r="A75" s="208"/>
      <c r="B75" s="208"/>
      <c r="C75" s="201"/>
      <c r="D75" s="205"/>
      <c r="E75" s="166" t="s">
        <v>193</v>
      </c>
      <c r="F75" s="202"/>
      <c r="G75" s="202" t="s">
        <v>107</v>
      </c>
      <c r="H75" s="206">
        <f xml:space="preserve"> SUM( J75:U75 )</f>
        <v>1.2030382105237272</v>
      </c>
      <c r="I75" s="202"/>
      <c r="J75" s="202">
        <f xml:space="preserve"> J74 * - I73 * ( 1 + $F$71 ) * J72</f>
        <v>0</v>
      </c>
      <c r="K75" s="202">
        <f t="shared" ref="K75:R75" si="21" xml:space="preserve"> K74 * - J73 * ( 1 + $F$71 ) * K72</f>
        <v>0</v>
      </c>
      <c r="L75" s="202">
        <f t="shared" si="21"/>
        <v>0</v>
      </c>
      <c r="M75" s="202">
        <f t="shared" si="21"/>
        <v>0</v>
      </c>
      <c r="N75" s="202">
        <f t="shared" si="21"/>
        <v>0</v>
      </c>
      <c r="O75" s="202">
        <f t="shared" si="21"/>
        <v>0</v>
      </c>
      <c r="P75" s="202">
        <f t="shared" si="21"/>
        <v>0</v>
      </c>
      <c r="Q75" s="202">
        <f t="shared" si="21"/>
        <v>0</v>
      </c>
      <c r="R75" s="202">
        <f t="shared" si="21"/>
        <v>1.2030382105237272</v>
      </c>
    </row>
    <row r="76" spans="1:18" ht="15" customHeight="1" outlineLevel="1">
      <c r="A76" s="208"/>
      <c r="B76" s="208"/>
      <c r="C76" s="201"/>
      <c r="D76" s="205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</row>
    <row r="77" spans="1:18" ht="15" customHeight="1" outlineLevel="1">
      <c r="A77" s="200"/>
      <c r="B77" s="208"/>
      <c r="C77" s="201"/>
      <c r="D77" s="205"/>
      <c r="E77" s="209" t="str">
        <f xml:space="preserve"> Index!E$26</f>
        <v>CPIH Nov-Nov - percentage increase - CALC</v>
      </c>
      <c r="F77" s="193">
        <f xml:space="preserve"> Index!F$26</f>
        <v>0</v>
      </c>
      <c r="G77" s="193">
        <f xml:space="preserve"> Index!G$26</f>
        <v>0</v>
      </c>
      <c r="H77" s="193">
        <f xml:space="preserve"> Index!H$26</f>
        <v>0</v>
      </c>
      <c r="I77" s="193">
        <f xml:space="preserve"> Index!I$26</f>
        <v>0</v>
      </c>
      <c r="J77" s="193">
        <f xml:space="preserve"> Index!J$26</f>
        <v>0</v>
      </c>
      <c r="K77" s="193">
        <f xml:space="preserve"> Index!K$26</f>
        <v>0</v>
      </c>
      <c r="L77" s="193">
        <f xml:space="preserve"> Index!L$26</f>
        <v>1.0284872298624754</v>
      </c>
      <c r="M77" s="193">
        <f xml:space="preserve"> Index!M$26</f>
        <v>1.0210124164278893</v>
      </c>
      <c r="N77" s="193">
        <f xml:space="preserve"> Index!N$26</f>
        <v>1.0149672591206733</v>
      </c>
      <c r="O77" s="193">
        <f xml:space="preserve"> Index!O$26</f>
        <v>1.0055299539170506</v>
      </c>
      <c r="P77" s="193">
        <f xml:space="preserve"> Index!P$26</f>
        <v>1.0458295142071494</v>
      </c>
      <c r="Q77" s="193">
        <f xml:space="preserve"> Index!Q$26</f>
        <v>1.0937773882559159</v>
      </c>
      <c r="R77" s="193">
        <f xml:space="preserve"> Index!R$26</f>
        <v>1.0416666666666667</v>
      </c>
    </row>
    <row r="78" spans="1:18" ht="15" customHeight="1" outlineLevel="1">
      <c r="A78" s="23"/>
      <c r="B78" s="23"/>
      <c r="C78" s="25"/>
      <c r="D78" s="213"/>
      <c r="E78" s="214" t="str">
        <f xml:space="preserve"> InputsR!E$21</f>
        <v>Profit from bioresources trading</v>
      </c>
      <c r="F78" s="214">
        <f xml:space="preserve"> InputsR!F$21</f>
        <v>0</v>
      </c>
      <c r="G78" s="214" t="str">
        <f xml:space="preserve"> InputsR!G$21</f>
        <v>£m</v>
      </c>
      <c r="H78" s="261">
        <f xml:space="preserve"> InputsR!H$21</f>
        <v>0</v>
      </c>
      <c r="I78" s="261">
        <f xml:space="preserve"> InputsR!I$21</f>
        <v>0</v>
      </c>
      <c r="J78" s="261">
        <f xml:space="preserve"> InputsR!J$21</f>
        <v>0</v>
      </c>
      <c r="K78" s="261">
        <f xml:space="preserve"> InputsR!K$21</f>
        <v>0</v>
      </c>
      <c r="L78" s="261">
        <f xml:space="preserve"> InputsR!L$21</f>
        <v>0</v>
      </c>
      <c r="M78" s="261">
        <f xml:space="preserve"> InputsR!M$21</f>
        <v>0</v>
      </c>
      <c r="N78" s="261">
        <f xml:space="preserve"> InputsR!N$21</f>
        <v>0</v>
      </c>
      <c r="O78" s="261">
        <f xml:space="preserve"> InputsR!O$21</f>
        <v>0</v>
      </c>
      <c r="P78" s="261">
        <f xml:space="preserve"> InputsR!P$21</f>
        <v>0</v>
      </c>
      <c r="Q78" s="261">
        <f xml:space="preserve"> InputsR!Q$21</f>
        <v>0</v>
      </c>
      <c r="R78" s="261">
        <f xml:space="preserve"> InputsR!R$21</f>
        <v>0</v>
      </c>
    </row>
    <row r="79" spans="1:18" ht="15" customHeight="1" outlineLevel="1">
      <c r="A79" s="232"/>
      <c r="B79" s="232"/>
      <c r="C79" s="233"/>
      <c r="D79" s="220"/>
      <c r="E79" s="234" t="str">
        <f xml:space="preserve"> Time!E$46</f>
        <v>Last Forecast Period Flag</v>
      </c>
      <c r="F79" s="234">
        <f xml:space="preserve"> Time!F$46</f>
        <v>0</v>
      </c>
      <c r="G79" s="234" t="str">
        <f xml:space="preserve"> Time!G$46</f>
        <v>flag</v>
      </c>
      <c r="H79" s="234">
        <f xml:space="preserve"> Time!H$46</f>
        <v>1</v>
      </c>
      <c r="I79" s="234">
        <f xml:space="preserve"> Time!I$46</f>
        <v>0</v>
      </c>
      <c r="J79" s="234">
        <f xml:space="preserve"> Time!J$46</f>
        <v>0</v>
      </c>
      <c r="K79" s="234">
        <f xml:space="preserve"> Time!K$46</f>
        <v>0</v>
      </c>
      <c r="L79" s="234">
        <f xml:space="preserve"> Time!L$46</f>
        <v>0</v>
      </c>
      <c r="M79" s="234">
        <f xml:space="preserve"> Time!M$46</f>
        <v>0</v>
      </c>
      <c r="N79" s="234">
        <f xml:space="preserve"> Time!N$46</f>
        <v>0</v>
      </c>
      <c r="O79" s="234">
        <f xml:space="preserve"> Time!O$46</f>
        <v>0</v>
      </c>
      <c r="P79" s="234">
        <f xml:space="preserve"> Time!P$46</f>
        <v>0</v>
      </c>
      <c r="Q79" s="234">
        <f xml:space="preserve"> Time!Q$46</f>
        <v>0</v>
      </c>
      <c r="R79" s="234">
        <f xml:space="preserve"> Time!R$46</f>
        <v>1</v>
      </c>
    </row>
    <row r="80" spans="1:18" ht="15" customHeight="1" outlineLevel="1">
      <c r="A80" s="229"/>
      <c r="B80" s="229"/>
      <c r="C80" s="221"/>
      <c r="D80" s="222"/>
      <c r="E80" s="206" t="s">
        <v>194</v>
      </c>
      <c r="F80" s="206"/>
      <c r="G80" s="206" t="s">
        <v>107</v>
      </c>
      <c r="H80" s="206">
        <f xml:space="preserve"> SUM( J80:U80 )</f>
        <v>0</v>
      </c>
      <c r="I80" s="206"/>
      <c r="J80" s="206">
        <f xml:space="preserve">  J79 * ( - I78 * J77 )</f>
        <v>0</v>
      </c>
      <c r="K80" s="206">
        <f t="shared" ref="K80:R80" si="22" xml:space="preserve">  K79 * ( - J78 * K77 )</f>
        <v>0</v>
      </c>
      <c r="L80" s="206">
        <f t="shared" si="22"/>
        <v>0</v>
      </c>
      <c r="M80" s="206">
        <f t="shared" si="22"/>
        <v>0</v>
      </c>
      <c r="N80" s="206">
        <f t="shared" si="22"/>
        <v>0</v>
      </c>
      <c r="O80" s="206">
        <f t="shared" si="22"/>
        <v>0</v>
      </c>
      <c r="P80" s="206">
        <f t="shared" si="22"/>
        <v>0</v>
      </c>
      <c r="Q80" s="206">
        <f t="shared" si="22"/>
        <v>0</v>
      </c>
      <c r="R80" s="206">
        <f t="shared" si="22"/>
        <v>0</v>
      </c>
    </row>
    <row r="81" spans="1:18" ht="15" customHeight="1" outlineLevel="1">
      <c r="A81" s="226"/>
      <c r="B81" s="226"/>
      <c r="C81" s="186"/>
      <c r="D81" s="227"/>
      <c r="E81" s="228"/>
      <c r="F81" s="203"/>
      <c r="G81" s="228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1:18" ht="15" customHeight="1" outlineLevel="1">
      <c r="A82" s="229"/>
      <c r="B82" s="229"/>
      <c r="C82" s="221"/>
      <c r="D82" s="222"/>
      <c r="E82" s="206" t="str">
        <f xml:space="preserve"> E$75</f>
        <v>Value of year 4 bioresources revenue adjustment (ABR) to be applied in PR24</v>
      </c>
      <c r="F82" s="206">
        <f t="shared" ref="F82:R82" si="23" xml:space="preserve"> F$75</f>
        <v>0</v>
      </c>
      <c r="G82" s="206" t="str">
        <f t="shared" si="23"/>
        <v>£m</v>
      </c>
      <c r="H82" s="206">
        <f t="shared" si="23"/>
        <v>1.2030382105237272</v>
      </c>
      <c r="I82" s="206">
        <f t="shared" si="23"/>
        <v>0</v>
      </c>
      <c r="J82" s="206">
        <f t="shared" si="23"/>
        <v>0</v>
      </c>
      <c r="K82" s="206">
        <f t="shared" si="23"/>
        <v>0</v>
      </c>
      <c r="L82" s="206">
        <f t="shared" si="23"/>
        <v>0</v>
      </c>
      <c r="M82" s="206">
        <f t="shared" si="23"/>
        <v>0</v>
      </c>
      <c r="N82" s="206">
        <f t="shared" si="23"/>
        <v>0</v>
      </c>
      <c r="O82" s="206">
        <f t="shared" si="23"/>
        <v>0</v>
      </c>
      <c r="P82" s="206">
        <f t="shared" si="23"/>
        <v>0</v>
      </c>
      <c r="Q82" s="206">
        <f t="shared" si="23"/>
        <v>0</v>
      </c>
      <c r="R82" s="206">
        <f t="shared" si="23"/>
        <v>1.2030382105237272</v>
      </c>
    </row>
    <row r="83" spans="1:18" ht="15" customHeight="1" outlineLevel="1">
      <c r="A83" s="229"/>
      <c r="B83" s="229"/>
      <c r="C83" s="221"/>
      <c r="D83" s="222"/>
      <c r="E83" s="206" t="str">
        <f xml:space="preserve"> E$80</f>
        <v>Value of other year 4 revenue adjustments to be applied in PR24</v>
      </c>
      <c r="F83" s="206">
        <f t="shared" ref="F83:R83" si="24" xml:space="preserve"> F$80</f>
        <v>0</v>
      </c>
      <c r="G83" s="206" t="str">
        <f t="shared" si="24"/>
        <v>£m</v>
      </c>
      <c r="H83" s="206">
        <f t="shared" si="24"/>
        <v>0</v>
      </c>
      <c r="I83" s="206">
        <f t="shared" si="24"/>
        <v>0</v>
      </c>
      <c r="J83" s="206">
        <f t="shared" si="24"/>
        <v>0</v>
      </c>
      <c r="K83" s="206">
        <f t="shared" si="24"/>
        <v>0</v>
      </c>
      <c r="L83" s="206">
        <f t="shared" si="24"/>
        <v>0</v>
      </c>
      <c r="M83" s="206">
        <f t="shared" si="24"/>
        <v>0</v>
      </c>
      <c r="N83" s="206">
        <f t="shared" si="24"/>
        <v>0</v>
      </c>
      <c r="O83" s="206">
        <f t="shared" si="24"/>
        <v>0</v>
      </c>
      <c r="P83" s="206">
        <f t="shared" si="24"/>
        <v>0</v>
      </c>
      <c r="Q83" s="206">
        <f t="shared" si="24"/>
        <v>0</v>
      </c>
      <c r="R83" s="206">
        <f t="shared" si="24"/>
        <v>0</v>
      </c>
    </row>
    <row r="84" spans="1:18" ht="15" customHeight="1" outlineLevel="1">
      <c r="A84" s="186"/>
      <c r="B84" s="186"/>
      <c r="C84" s="186"/>
      <c r="D84" s="227"/>
      <c r="E84" s="206" t="s">
        <v>195</v>
      </c>
      <c r="F84" s="206"/>
      <c r="G84" s="206" t="s">
        <v>107</v>
      </c>
      <c r="H84" s="206">
        <f xml:space="preserve"> SUM( J84:U84 )</f>
        <v>1.2030382105237272</v>
      </c>
      <c r="I84" s="206"/>
      <c r="J84" s="206">
        <f xml:space="preserve"> J82 + J83</f>
        <v>0</v>
      </c>
      <c r="K84" s="206">
        <f xml:space="preserve"> K82 + K83</f>
        <v>0</v>
      </c>
      <c r="L84" s="206">
        <f t="shared" ref="L84:R84" si="25" xml:space="preserve"> L82 + L83</f>
        <v>0</v>
      </c>
      <c r="M84" s="206">
        <f t="shared" si="25"/>
        <v>0</v>
      </c>
      <c r="N84" s="206">
        <f xml:space="preserve"> N82 + N83</f>
        <v>0</v>
      </c>
      <c r="O84" s="206">
        <f t="shared" si="25"/>
        <v>0</v>
      </c>
      <c r="P84" s="206">
        <f t="shared" si="25"/>
        <v>0</v>
      </c>
      <c r="Q84" s="206">
        <f t="shared" si="25"/>
        <v>0</v>
      </c>
      <c r="R84" s="206">
        <f t="shared" si="25"/>
        <v>1.2030382105237272</v>
      </c>
    </row>
    <row r="85" spans="1:18" ht="15" customHeight="1" outlineLevel="1">
      <c r="A85" s="229"/>
      <c r="B85" s="229"/>
      <c r="C85" s="221"/>
      <c r="D85" s="222"/>
      <c r="E85" s="206"/>
      <c r="F85" s="206"/>
      <c r="G85" s="206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</row>
    <row r="86" spans="1:18" ht="15" customHeight="1" outlineLevel="1">
      <c r="A86" s="229"/>
      <c r="B86" s="83" t="s">
        <v>196</v>
      </c>
      <c r="C86" s="221"/>
      <c r="D86" s="222"/>
      <c r="E86" s="206"/>
      <c r="F86" s="206"/>
      <c r="G86" s="206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</row>
    <row r="87" spans="1:18" ht="15" customHeight="1" outlineLevel="1">
      <c r="A87" s="229"/>
      <c r="B87" s="229"/>
      <c r="C87" s="221"/>
      <c r="D87" s="222"/>
      <c r="E87" s="206"/>
      <c r="F87" s="206"/>
      <c r="G87" s="206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</row>
    <row r="88" spans="1:18" ht="15" customHeight="1" outlineLevel="1">
      <c r="A88" s="248"/>
      <c r="B88" s="248"/>
      <c r="C88" s="249"/>
      <c r="D88" s="222"/>
      <c r="E88" s="250" t="str">
        <f xml:space="preserve"> E$40</f>
        <v>Revenue imbalance</v>
      </c>
      <c r="F88" s="250">
        <f t="shared" ref="F88:R88" si="26" xml:space="preserve"> F$40</f>
        <v>0</v>
      </c>
      <c r="G88" s="250" t="str">
        <f t="shared" si="26"/>
        <v>£m</v>
      </c>
      <c r="H88" s="250">
        <f t="shared" si="26"/>
        <v>-12.791874457056451</v>
      </c>
      <c r="I88" s="250">
        <f t="shared" si="26"/>
        <v>0</v>
      </c>
      <c r="J88" s="250">
        <f t="shared" si="26"/>
        <v>0</v>
      </c>
      <c r="K88" s="250">
        <f t="shared" si="26"/>
        <v>0</v>
      </c>
      <c r="L88" s="250">
        <f t="shared" si="26"/>
        <v>0</v>
      </c>
      <c r="M88" s="250">
        <f t="shared" si="26"/>
        <v>0</v>
      </c>
      <c r="N88" s="250">
        <f t="shared" si="26"/>
        <v>-6.7034697056679704</v>
      </c>
      <c r="O88" s="250">
        <f t="shared" si="26"/>
        <v>-3.9434359767045351</v>
      </c>
      <c r="P88" s="250">
        <f t="shared" si="26"/>
        <v>-1.0228188698036718</v>
      </c>
      <c r="Q88" s="250">
        <f t="shared" si="26"/>
        <v>-1.1221499048802741</v>
      </c>
      <c r="R88" s="250">
        <f t="shared" si="26"/>
        <v>0</v>
      </c>
    </row>
    <row r="89" spans="1:18" ht="15" customHeight="1" outlineLevel="1">
      <c r="A89" s="23"/>
      <c r="B89" s="23"/>
      <c r="C89" s="25"/>
      <c r="D89" s="213"/>
      <c r="E89" s="214" t="str">
        <f xml:space="preserve"> InputsR!E$21</f>
        <v>Profit from bioresources trading</v>
      </c>
      <c r="F89" s="214">
        <f xml:space="preserve"> InputsR!F$21</f>
        <v>0</v>
      </c>
      <c r="G89" s="214" t="str">
        <f xml:space="preserve"> InputsR!G$21</f>
        <v>£m</v>
      </c>
      <c r="H89" s="261">
        <f xml:space="preserve"> InputsR!H$21</f>
        <v>0</v>
      </c>
      <c r="I89" s="261">
        <f xml:space="preserve"> InputsR!I$21</f>
        <v>0</v>
      </c>
      <c r="J89" s="261">
        <f xml:space="preserve"> InputsR!J$21</f>
        <v>0</v>
      </c>
      <c r="K89" s="261">
        <f xml:space="preserve"> InputsR!K$21</f>
        <v>0</v>
      </c>
      <c r="L89" s="261">
        <f xml:space="preserve"> InputsR!L$21</f>
        <v>0</v>
      </c>
      <c r="M89" s="261">
        <f xml:space="preserve"> InputsR!M$21</f>
        <v>0</v>
      </c>
      <c r="N89" s="261">
        <f xml:space="preserve"> InputsR!N$21</f>
        <v>0</v>
      </c>
      <c r="O89" s="261">
        <f xml:space="preserve"> InputsR!O$21</f>
        <v>0</v>
      </c>
      <c r="P89" s="261">
        <f xml:space="preserve"> InputsR!P$21</f>
        <v>0</v>
      </c>
      <c r="Q89" s="261">
        <f xml:space="preserve"> InputsR!Q$21</f>
        <v>0</v>
      </c>
      <c r="R89" s="261">
        <f xml:space="preserve"> InputsR!R$21</f>
        <v>0</v>
      </c>
    </row>
    <row r="90" spans="1:18" ht="15" customHeight="1" outlineLevel="1">
      <c r="A90" s="232"/>
      <c r="B90" s="232"/>
      <c r="C90" s="233"/>
      <c r="D90" s="220"/>
      <c r="E90" s="234" t="str">
        <f xml:space="preserve"> Time!E$46</f>
        <v>Last Forecast Period Flag</v>
      </c>
      <c r="F90" s="234">
        <f xml:space="preserve"> Time!F$46</f>
        <v>0</v>
      </c>
      <c r="G90" s="234" t="str">
        <f xml:space="preserve"> Time!G$46</f>
        <v>flag</v>
      </c>
      <c r="H90" s="234">
        <f xml:space="preserve"> Time!H$46</f>
        <v>1</v>
      </c>
      <c r="I90" s="234">
        <f xml:space="preserve"> Time!I$46</f>
        <v>0</v>
      </c>
      <c r="J90" s="234">
        <f xml:space="preserve"> Time!J$46</f>
        <v>0</v>
      </c>
      <c r="K90" s="234">
        <f xml:space="preserve"> Time!K$46</f>
        <v>0</v>
      </c>
      <c r="L90" s="234">
        <f xml:space="preserve"> Time!L$46</f>
        <v>0</v>
      </c>
      <c r="M90" s="234">
        <f xml:space="preserve"> Time!M$46</f>
        <v>0</v>
      </c>
      <c r="N90" s="234">
        <f xml:space="preserve"> Time!N$46</f>
        <v>0</v>
      </c>
      <c r="O90" s="234">
        <f xml:space="preserve"> Time!O$46</f>
        <v>0</v>
      </c>
      <c r="P90" s="234">
        <f xml:space="preserve"> Time!P$46</f>
        <v>0</v>
      </c>
      <c r="Q90" s="234">
        <f xml:space="preserve"> Time!Q$46</f>
        <v>0</v>
      </c>
      <c r="R90" s="234">
        <f xml:space="preserve"> Time!R$46</f>
        <v>1</v>
      </c>
    </row>
    <row r="91" spans="1:18" ht="15" customHeight="1" outlineLevel="1">
      <c r="A91" s="226"/>
      <c r="B91" s="226"/>
      <c r="C91" s="186"/>
      <c r="D91" s="227"/>
      <c r="E91" s="206" t="s">
        <v>197</v>
      </c>
      <c r="F91" s="206"/>
      <c r="G91" s="206" t="s">
        <v>107</v>
      </c>
      <c r="H91" s="206">
        <f xml:space="preserve"> SUM( J91:U91 )</f>
        <v>0</v>
      </c>
      <c r="I91" s="206"/>
      <c r="J91" s="206">
        <f xml:space="preserve"> J90 * ( - J88 - J89 )</f>
        <v>0</v>
      </c>
      <c r="K91" s="206">
        <f t="shared" ref="K91:R91" si="27" xml:space="preserve"> K90 * ( - K88 - K89 )</f>
        <v>0</v>
      </c>
      <c r="L91" s="206">
        <f t="shared" si="27"/>
        <v>0</v>
      </c>
      <c r="M91" s="206">
        <f t="shared" si="27"/>
        <v>0</v>
      </c>
      <c r="N91" s="206">
        <f t="shared" si="27"/>
        <v>0</v>
      </c>
      <c r="O91" s="206">
        <f t="shared" si="27"/>
        <v>0</v>
      </c>
      <c r="P91" s="206">
        <f t="shared" si="27"/>
        <v>0</v>
      </c>
      <c r="Q91" s="206">
        <f t="shared" si="27"/>
        <v>0</v>
      </c>
      <c r="R91" s="206">
        <f t="shared" si="27"/>
        <v>0</v>
      </c>
    </row>
    <row r="92" spans="1:18" ht="15" customHeight="1" outlineLevel="1">
      <c r="A92" s="226"/>
      <c r="B92" s="226"/>
      <c r="C92" s="186"/>
      <c r="D92" s="227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</row>
    <row r="93" spans="1:18" s="289" customFormat="1" ht="15" customHeight="1" outlineLevel="1">
      <c r="A93" s="229"/>
      <c r="B93" s="229"/>
      <c r="C93" s="221"/>
      <c r="D93" s="222"/>
      <c r="E93" s="206" t="str">
        <f xml:space="preserve"> E$84</f>
        <v>Value of year 4 total bioresources revenue adjustment to be applied in PR24</v>
      </c>
      <c r="F93" s="206">
        <f t="shared" ref="F93:R93" si="28" xml:space="preserve"> F$84</f>
        <v>0</v>
      </c>
      <c r="G93" s="206" t="str">
        <f t="shared" si="28"/>
        <v>£m</v>
      </c>
      <c r="H93" s="206">
        <f t="shared" si="28"/>
        <v>1.2030382105237272</v>
      </c>
      <c r="I93" s="206">
        <f t="shared" si="28"/>
        <v>0</v>
      </c>
      <c r="J93" s="206">
        <f t="shared" si="28"/>
        <v>0</v>
      </c>
      <c r="K93" s="206">
        <f t="shared" si="28"/>
        <v>0</v>
      </c>
      <c r="L93" s="206">
        <f t="shared" si="28"/>
        <v>0</v>
      </c>
      <c r="M93" s="206">
        <f t="shared" si="28"/>
        <v>0</v>
      </c>
      <c r="N93" s="206">
        <f t="shared" si="28"/>
        <v>0</v>
      </c>
      <c r="O93" s="206">
        <f t="shared" si="28"/>
        <v>0</v>
      </c>
      <c r="P93" s="206">
        <f t="shared" si="28"/>
        <v>0</v>
      </c>
      <c r="Q93" s="206">
        <f t="shared" si="28"/>
        <v>0</v>
      </c>
      <c r="R93" s="206">
        <f t="shared" si="28"/>
        <v>1.2030382105237272</v>
      </c>
    </row>
    <row r="94" spans="1:18" s="289" customFormat="1" ht="15" customHeight="1" outlineLevel="1">
      <c r="A94" s="229"/>
      <c r="B94" s="229"/>
      <c r="C94" s="221"/>
      <c r="D94" s="222"/>
      <c r="E94" s="206" t="str">
        <f xml:space="preserve"> E$91</f>
        <v>Value of year 5 total bioresources revenue adjustment to be applied in PR24</v>
      </c>
      <c r="F94" s="206">
        <f t="shared" ref="F94:R95" si="29" xml:space="preserve"> F$91</f>
        <v>0</v>
      </c>
      <c r="G94" s="206" t="str">
        <f t="shared" si="29"/>
        <v>£m</v>
      </c>
      <c r="H94" s="206">
        <f t="shared" si="29"/>
        <v>0</v>
      </c>
      <c r="I94" s="206">
        <f t="shared" si="29"/>
        <v>0</v>
      </c>
      <c r="J94" s="206">
        <f t="shared" si="29"/>
        <v>0</v>
      </c>
      <c r="K94" s="206">
        <f t="shared" si="29"/>
        <v>0</v>
      </c>
      <c r="L94" s="206">
        <f t="shared" si="29"/>
        <v>0</v>
      </c>
      <c r="M94" s="206">
        <f t="shared" si="29"/>
        <v>0</v>
      </c>
      <c r="N94" s="206">
        <f t="shared" si="29"/>
        <v>0</v>
      </c>
      <c r="O94" s="206">
        <f t="shared" si="29"/>
        <v>0</v>
      </c>
      <c r="P94" s="206">
        <f t="shared" si="29"/>
        <v>0</v>
      </c>
      <c r="Q94" s="206">
        <f t="shared" si="29"/>
        <v>0</v>
      </c>
      <c r="R94" s="206">
        <f t="shared" si="29"/>
        <v>0</v>
      </c>
    </row>
    <row r="95" spans="1:18" s="149" customFormat="1" ht="15" customHeight="1" outlineLevel="1" thickBot="1">
      <c r="A95" s="226"/>
      <c r="B95" s="226"/>
      <c r="C95" s="186"/>
      <c r="D95" s="227"/>
      <c r="E95" s="235" t="s">
        <v>198</v>
      </c>
      <c r="F95" s="235"/>
      <c r="G95" s="235" t="str">
        <f t="shared" si="29"/>
        <v>£m</v>
      </c>
      <c r="H95" s="235">
        <f xml:space="preserve"> SUM( J95:R95 )</f>
        <v>1.2030382105237272</v>
      </c>
      <c r="I95" s="235"/>
      <c r="J95" s="235">
        <f xml:space="preserve"> J93 + J94</f>
        <v>0</v>
      </c>
      <c r="K95" s="235">
        <f t="shared" ref="K95:R95" si="30" xml:space="preserve"> K93 + K94</f>
        <v>0</v>
      </c>
      <c r="L95" s="235">
        <f t="shared" si="30"/>
        <v>0</v>
      </c>
      <c r="M95" s="235">
        <f t="shared" si="30"/>
        <v>0</v>
      </c>
      <c r="N95" s="235">
        <f t="shared" si="30"/>
        <v>0</v>
      </c>
      <c r="O95" s="235">
        <f t="shared" si="30"/>
        <v>0</v>
      </c>
      <c r="P95" s="235">
        <f t="shared" si="30"/>
        <v>0</v>
      </c>
      <c r="Q95" s="235">
        <f t="shared" si="30"/>
        <v>0</v>
      </c>
      <c r="R95" s="235">
        <f t="shared" si="30"/>
        <v>1.2030382105237272</v>
      </c>
    </row>
    <row r="96" spans="1:18" ht="15" customHeight="1" thickTop="1">
      <c r="A96" s="226"/>
      <c r="B96" s="226"/>
      <c r="C96" s="186"/>
      <c r="D96" s="227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</row>
    <row r="97" spans="1:18" s="168" customFormat="1" ht="15" customHeight="1">
      <c r="A97" s="80" t="s">
        <v>199</v>
      </c>
      <c r="B97" s="240"/>
      <c r="C97" s="269"/>
      <c r="D97" s="270"/>
      <c r="E97" s="240"/>
      <c r="F97" s="240"/>
      <c r="G97" s="27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</row>
    <row r="98" spans="1:18" s="241" customFormat="1" ht="15" customHeight="1" outlineLevel="1">
      <c r="A98" s="271"/>
      <c r="B98" s="271"/>
      <c r="C98" s="272"/>
      <c r="D98" s="273"/>
      <c r="E98" s="271"/>
      <c r="F98" s="271"/>
      <c r="G98" s="273"/>
      <c r="H98" s="271"/>
      <c r="I98" s="271"/>
      <c r="J98" s="271"/>
      <c r="K98" s="271"/>
      <c r="L98" s="271"/>
      <c r="M98" s="271"/>
      <c r="N98" s="271"/>
      <c r="O98"/>
    </row>
    <row r="99" spans="1:18" s="300" customFormat="1" ht="12.75" customHeight="1" outlineLevel="1">
      <c r="A99" s="83"/>
      <c r="B99" s="83" t="s">
        <v>200</v>
      </c>
      <c r="C99" s="104"/>
      <c r="D99" s="85"/>
      <c r="E99" s="163"/>
      <c r="F99" s="163"/>
      <c r="G99" s="275"/>
      <c r="H99" s="163"/>
      <c r="I99" s="163"/>
      <c r="J99" s="163"/>
      <c r="K99" s="163"/>
      <c r="L99" s="163"/>
      <c r="M99" s="163"/>
      <c r="N99" s="163"/>
      <c r="O99"/>
      <c r="P99" s="335"/>
      <c r="Q99" s="335"/>
      <c r="R99" s="335"/>
    </row>
    <row r="100" spans="1:18" s="300" customFormat="1" ht="12.75" customHeight="1" outlineLevel="1">
      <c r="A100" s="83"/>
      <c r="B100" s="83"/>
      <c r="C100" s="104"/>
      <c r="D100" s="85"/>
      <c r="E100" s="163"/>
      <c r="F100" s="163"/>
      <c r="G100" s="275"/>
      <c r="H100" s="163"/>
      <c r="I100" s="163"/>
      <c r="J100" s="163"/>
      <c r="K100" s="163"/>
      <c r="L100" s="163"/>
      <c r="M100" s="163"/>
      <c r="N100" s="163"/>
      <c r="O100"/>
      <c r="P100" s="335"/>
      <c r="Q100" s="335"/>
      <c r="R100" s="335"/>
    </row>
    <row r="101" spans="1:18" outlineLevel="1">
      <c r="A101" s="16"/>
      <c r="B101" s="16"/>
      <c r="C101" s="17"/>
      <c r="D101" s="158"/>
      <c r="E101" s="345" t="str">
        <f t="shared" ref="E101:R101" si="31" xml:space="preserve"> E$16</f>
        <v>Forecast volume of sludge (FTDS)</v>
      </c>
      <c r="F101" s="345">
        <f t="shared" si="31"/>
        <v>0</v>
      </c>
      <c r="G101" s="345" t="str">
        <f t="shared" si="31"/>
        <v>TDS</v>
      </c>
      <c r="H101" s="345">
        <f t="shared" si="31"/>
        <v>2013210</v>
      </c>
      <c r="I101" s="345">
        <f t="shared" si="31"/>
        <v>0</v>
      </c>
      <c r="J101" s="345">
        <f t="shared" si="31"/>
        <v>0</v>
      </c>
      <c r="K101" s="345">
        <f t="shared" si="31"/>
        <v>0</v>
      </c>
      <c r="L101" s="345">
        <f t="shared" si="31"/>
        <v>0</v>
      </c>
      <c r="M101" s="345">
        <f t="shared" si="31"/>
        <v>0</v>
      </c>
      <c r="N101" s="345">
        <f t="shared" si="31"/>
        <v>396330</v>
      </c>
      <c r="O101" s="345">
        <f t="shared" si="31"/>
        <v>401020</v>
      </c>
      <c r="P101" s="345">
        <f t="shared" si="31"/>
        <v>403150</v>
      </c>
      <c r="Q101" s="345">
        <f t="shared" si="31"/>
        <v>405290</v>
      </c>
      <c r="R101" s="345">
        <f t="shared" si="31"/>
        <v>407420</v>
      </c>
    </row>
    <row r="102" spans="1:18" s="300" customFormat="1" ht="12.75" customHeight="1" outlineLevel="1">
      <c r="A102" s="83"/>
      <c r="B102" s="83"/>
      <c r="C102" s="104"/>
      <c r="D102" s="85"/>
      <c r="E102" s="163" t="s">
        <v>100</v>
      </c>
      <c r="F102" s="27">
        <f xml:space="preserve"> SUM( N101:R101 )</f>
        <v>2013210</v>
      </c>
      <c r="G102" s="277" t="s">
        <v>80</v>
      </c>
      <c r="H102" s="163"/>
      <c r="I102" s="163"/>
      <c r="J102" s="163"/>
      <c r="K102" s="163"/>
      <c r="L102" s="163"/>
      <c r="M102" s="163"/>
      <c r="N102" s="163"/>
      <c r="O102"/>
      <c r="P102" s="335"/>
      <c r="Q102" s="335"/>
      <c r="R102" s="335"/>
    </row>
    <row r="103" spans="1:18" s="300" customFormat="1" ht="12.75" customHeight="1" outlineLevel="1">
      <c r="A103" s="83"/>
      <c r="B103" s="83"/>
      <c r="C103" s="104"/>
      <c r="D103" s="85"/>
      <c r="E103" s="169"/>
      <c r="F103" s="169"/>
      <c r="G103" s="278"/>
      <c r="H103" s="169"/>
      <c r="I103" s="169"/>
      <c r="J103" s="169"/>
      <c r="K103" s="169"/>
      <c r="L103" s="169"/>
      <c r="M103" s="169"/>
      <c r="N103" s="169"/>
      <c r="O103"/>
      <c r="P103" s="335"/>
      <c r="Q103" s="335"/>
      <c r="R103" s="335"/>
    </row>
    <row r="104" spans="1:18" outlineLevel="1">
      <c r="E104" s="12" t="str">
        <f t="shared" ref="E104:R104" si="32" xml:space="preserve"> E$11</f>
        <v>Actual volume of sludge (ATDS)</v>
      </c>
      <c r="F104" s="12">
        <f t="shared" si="32"/>
        <v>0</v>
      </c>
      <c r="G104" s="12" t="str">
        <f t="shared" si="32"/>
        <v>TDS</v>
      </c>
      <c r="H104" s="187">
        <f t="shared" si="32"/>
        <v>1803001.6206999999</v>
      </c>
      <c r="I104" s="12">
        <f t="shared" si="32"/>
        <v>0</v>
      </c>
      <c r="J104" s="187">
        <f t="shared" si="32"/>
        <v>0</v>
      </c>
      <c r="K104" s="187">
        <f t="shared" si="32"/>
        <v>0</v>
      </c>
      <c r="L104" s="187">
        <f t="shared" si="32"/>
        <v>0</v>
      </c>
      <c r="M104" s="187">
        <f t="shared" si="32"/>
        <v>0</v>
      </c>
      <c r="N104" s="187">
        <f t="shared" si="32"/>
        <v>345333</v>
      </c>
      <c r="O104" s="187">
        <f t="shared" si="32"/>
        <v>371670.91269999999</v>
      </c>
      <c r="P104" s="187">
        <f t="shared" si="32"/>
        <v>353895</v>
      </c>
      <c r="Q104" s="187">
        <f t="shared" si="32"/>
        <v>365602.70799999998</v>
      </c>
      <c r="R104" s="187">
        <f t="shared" si="32"/>
        <v>366500</v>
      </c>
    </row>
    <row r="105" spans="1:18" s="168" customFormat="1" ht="12.75" customHeight="1" outlineLevel="1">
      <c r="A105" s="83"/>
      <c r="B105" s="83"/>
      <c r="C105" s="104"/>
      <c r="D105" s="85"/>
      <c r="E105" s="163" t="s">
        <v>101</v>
      </c>
      <c r="F105" s="27">
        <f xml:space="preserve"> SUM( N104:R104 )</f>
        <v>1803001.6206999999</v>
      </c>
      <c r="G105" s="277" t="s">
        <v>80</v>
      </c>
      <c r="H105" s="163"/>
      <c r="I105" s="163"/>
      <c r="J105"/>
      <c r="K105"/>
      <c r="L105"/>
      <c r="M105"/>
      <c r="N105"/>
      <c r="O105"/>
      <c r="P105"/>
      <c r="Q105"/>
      <c r="R105"/>
    </row>
    <row r="106" spans="1:18" s="300" customFormat="1" ht="12.75" customHeight="1" outlineLevel="1">
      <c r="A106" s="83"/>
      <c r="B106" s="83"/>
      <c r="C106" s="104"/>
      <c r="D106" s="85"/>
      <c r="E106" s="163"/>
      <c r="F106" s="163"/>
      <c r="G106" s="277"/>
      <c r="H106" s="163"/>
      <c r="I106" s="163"/>
      <c r="J106" s="163"/>
      <c r="K106" s="163"/>
      <c r="L106" s="163"/>
      <c r="M106" s="163"/>
      <c r="N106" s="163"/>
      <c r="O106"/>
      <c r="P106" s="335"/>
      <c r="Q106" s="335"/>
      <c r="R106" s="335"/>
    </row>
    <row r="107" spans="1:18" s="300" customFormat="1" ht="12.75" customHeight="1" outlineLevel="1">
      <c r="A107" s="83"/>
      <c r="B107" s="83"/>
      <c r="C107" s="104"/>
      <c r="D107" s="85"/>
      <c r="E107" s="163" t="str">
        <f xml:space="preserve"> E$105</f>
        <v>Actual volume of sludge (ATDS)</v>
      </c>
      <c r="F107" s="27">
        <f t="shared" ref="F107:G107" si="33" xml:space="preserve"> F$105</f>
        <v>1803001.6206999999</v>
      </c>
      <c r="G107" s="277" t="str">
        <f t="shared" si="33"/>
        <v>TDS</v>
      </c>
      <c r="H107" s="163"/>
      <c r="I107" s="163"/>
      <c r="J107" s="163"/>
      <c r="K107" s="163"/>
      <c r="L107" s="163"/>
      <c r="M107" s="163"/>
      <c r="N107" s="163"/>
      <c r="O107"/>
      <c r="P107" s="335"/>
      <c r="Q107" s="335"/>
      <c r="R107" s="335"/>
    </row>
    <row r="108" spans="1:18" s="300" customFormat="1" ht="12.75" customHeight="1" outlineLevel="1">
      <c r="A108" s="83"/>
      <c r="B108" s="83"/>
      <c r="C108" s="104"/>
      <c r="D108" s="85"/>
      <c r="E108" s="163" t="str">
        <f xml:space="preserve"> E$102</f>
        <v>Forecast volume of sludge (FTDS)</v>
      </c>
      <c r="F108" s="27">
        <f xml:space="preserve"> F$102</f>
        <v>2013210</v>
      </c>
      <c r="G108" s="277" t="str">
        <f xml:space="preserve"> G$102</f>
        <v>TDS</v>
      </c>
      <c r="H108" s="163"/>
      <c r="I108" s="163"/>
      <c r="J108" s="163"/>
      <c r="K108" s="163"/>
      <c r="L108" s="163"/>
      <c r="M108" s="163"/>
      <c r="N108" s="163"/>
      <c r="O108"/>
      <c r="P108" s="335"/>
      <c r="Q108" s="335"/>
      <c r="R108" s="335"/>
    </row>
    <row r="109" spans="1:18" s="300" customFormat="1" ht="12.75" customHeight="1" outlineLevel="1">
      <c r="A109" s="83"/>
      <c r="B109" s="83"/>
      <c r="C109" s="104"/>
      <c r="D109" s="85"/>
      <c r="E109" s="163" t="s">
        <v>201</v>
      </c>
      <c r="F109" s="27">
        <f xml:space="preserve"> ABS( F107 - F108 )</f>
        <v>210208.37930000015</v>
      </c>
      <c r="G109" s="277" t="s">
        <v>80</v>
      </c>
      <c r="H109" s="163"/>
      <c r="I109" s="163"/>
      <c r="J109" s="163"/>
      <c r="K109" s="163"/>
      <c r="L109" s="163"/>
      <c r="M109" s="163"/>
      <c r="N109" s="163"/>
      <c r="O109"/>
      <c r="P109" s="335"/>
      <c r="Q109" s="335"/>
      <c r="R109" s="335"/>
    </row>
    <row r="110" spans="1:18" s="300" customFormat="1" ht="12.75" customHeight="1" outlineLevel="1">
      <c r="A110" s="83"/>
      <c r="B110" s="83"/>
      <c r="C110" s="104"/>
      <c r="D110" s="85"/>
      <c r="E110" s="163"/>
      <c r="F110" s="163"/>
      <c r="G110" s="277"/>
      <c r="H110" s="163"/>
      <c r="I110" s="163"/>
      <c r="J110" s="163"/>
      <c r="K110" s="163"/>
      <c r="L110" s="163"/>
      <c r="M110" s="163"/>
      <c r="N110" s="163"/>
      <c r="O110"/>
      <c r="P110" s="335"/>
      <c r="Q110" s="335"/>
      <c r="R110" s="335"/>
    </row>
    <row r="111" spans="1:18" s="300" customFormat="1" ht="12.75" customHeight="1" outlineLevel="1">
      <c r="A111" s="83"/>
      <c r="B111" s="83"/>
      <c r="C111" s="104"/>
      <c r="D111" s="85"/>
      <c r="E111" s="163" t="str">
        <f xml:space="preserve"> E$105</f>
        <v>Actual volume of sludge (ATDS)</v>
      </c>
      <c r="F111" s="27">
        <f t="shared" ref="F111:G111" si="34" xml:space="preserve"> F$105</f>
        <v>1803001.6206999999</v>
      </c>
      <c r="G111" s="277" t="str">
        <f t="shared" si="34"/>
        <v>TDS</v>
      </c>
      <c r="H111" s="163"/>
      <c r="I111" s="163"/>
      <c r="J111" s="163"/>
      <c r="K111" s="163"/>
      <c r="L111" s="163"/>
      <c r="M111" s="163"/>
      <c r="N111" s="163"/>
      <c r="O111"/>
      <c r="P111" s="335"/>
      <c r="Q111" s="335"/>
      <c r="R111" s="335"/>
    </row>
    <row r="112" spans="1:18" s="300" customFormat="1" ht="12.75" customHeight="1" outlineLevel="1">
      <c r="A112" s="83"/>
      <c r="B112" s="83"/>
      <c r="C112" s="104"/>
      <c r="D112" s="85"/>
      <c r="E112" s="163" t="str">
        <f xml:space="preserve"> E$102</f>
        <v>Forecast volume of sludge (FTDS)</v>
      </c>
      <c r="F112" s="27">
        <f t="shared" ref="F112:G112" si="35" xml:space="preserve"> F$102</f>
        <v>2013210</v>
      </c>
      <c r="G112" s="277" t="str">
        <f t="shared" si="35"/>
        <v>TDS</v>
      </c>
      <c r="H112" s="163"/>
      <c r="I112" s="163"/>
      <c r="J112" s="163"/>
      <c r="K112" s="163"/>
      <c r="L112" s="163"/>
      <c r="M112" s="163"/>
      <c r="N112" s="163"/>
      <c r="O112"/>
      <c r="P112" s="335"/>
      <c r="Q112" s="335"/>
      <c r="R112" s="335"/>
    </row>
    <row r="113" spans="1:18" s="300" customFormat="1" ht="12.75" customHeight="1" outlineLevel="1">
      <c r="A113" s="83"/>
      <c r="B113" s="83"/>
      <c r="C113" s="104"/>
      <c r="D113" s="85"/>
      <c r="E113" s="163" t="s">
        <v>202</v>
      </c>
      <c r="F113" s="276">
        <f xml:space="preserve"> IF( F111 = 0, 0, ABS(( F111 - F112 ) / F112 ))</f>
        <v>0.10441453166833074</v>
      </c>
      <c r="G113" s="277" t="s">
        <v>111</v>
      </c>
      <c r="H113" s="163"/>
      <c r="I113" s="163"/>
      <c r="J113" s="163"/>
      <c r="K113" s="163"/>
      <c r="L113" s="163"/>
      <c r="M113" s="163"/>
      <c r="N113" s="163"/>
      <c r="O113"/>
      <c r="P113" s="335"/>
      <c r="Q113" s="335"/>
      <c r="R113" s="335"/>
    </row>
    <row r="114" spans="1:18" s="300" customFormat="1" ht="12.75" customHeight="1" outlineLevel="1">
      <c r="A114" s="83"/>
      <c r="B114" s="83"/>
      <c r="C114" s="104"/>
      <c r="D114" s="85"/>
      <c r="E114" s="163"/>
      <c r="F114" s="163"/>
      <c r="G114" s="277"/>
      <c r="H114" s="163"/>
      <c r="I114" s="163"/>
      <c r="J114" s="163"/>
      <c r="K114" s="163"/>
      <c r="L114" s="163"/>
      <c r="M114" s="163"/>
      <c r="N114" s="163"/>
      <c r="O114"/>
      <c r="P114" s="335"/>
      <c r="Q114" s="335"/>
      <c r="R114" s="335"/>
    </row>
    <row r="115" spans="1:18" s="300" customFormat="1" ht="12.75" customHeight="1" outlineLevel="1">
      <c r="A115" s="83"/>
      <c r="B115" s="83" t="s">
        <v>203</v>
      </c>
      <c r="C115" s="104"/>
      <c r="D115" s="85"/>
      <c r="E115" s="163"/>
      <c r="F115" s="163"/>
      <c r="G115" s="277"/>
      <c r="H115" s="163"/>
      <c r="I115" s="163"/>
      <c r="J115" s="163"/>
      <c r="K115" s="163"/>
      <c r="L115" s="163"/>
      <c r="M115" s="163"/>
      <c r="N115" s="163"/>
      <c r="O115"/>
      <c r="P115" s="335"/>
      <c r="Q115" s="335"/>
      <c r="R115" s="335"/>
    </row>
    <row r="116" spans="1:18" s="300" customFormat="1" ht="12.75" customHeight="1" outlineLevel="1">
      <c r="A116" s="83"/>
      <c r="B116" s="83"/>
      <c r="C116" s="104"/>
      <c r="D116" s="85"/>
      <c r="E116" s="163"/>
      <c r="F116" s="163"/>
      <c r="G116" s="277"/>
      <c r="H116" s="163"/>
      <c r="I116" s="163"/>
      <c r="J116" s="163"/>
      <c r="K116" s="163"/>
      <c r="L116" s="163"/>
      <c r="M116" s="163"/>
      <c r="N116" s="163"/>
      <c r="O116"/>
      <c r="P116" s="335"/>
      <c r="Q116" s="335"/>
      <c r="R116" s="335"/>
    </row>
    <row r="117" spans="1:18" s="300" customFormat="1" ht="12.75" customHeight="1" outlineLevel="1">
      <c r="A117" s="83"/>
      <c r="B117" s="83"/>
      <c r="C117" s="104"/>
      <c r="D117" s="85"/>
      <c r="E117" s="169" t="str">
        <f xml:space="preserve"> InputsR!E$29</f>
        <v>Deadband</v>
      </c>
      <c r="F117" s="193">
        <f xml:space="preserve"> InputsR!F$29</f>
        <v>0.06</v>
      </c>
      <c r="G117" s="278" t="str">
        <f xml:space="preserve"> InputsR!G$29</f>
        <v>%</v>
      </c>
      <c r="H117" s="163"/>
      <c r="I117" s="163"/>
      <c r="J117" s="163"/>
      <c r="K117" s="163"/>
      <c r="L117" s="163"/>
      <c r="M117" s="163"/>
      <c r="N117" s="163"/>
      <c r="O117"/>
      <c r="P117" s="335"/>
      <c r="Q117" s="335"/>
      <c r="R117" s="335"/>
    </row>
    <row r="118" spans="1:18" s="300" customFormat="1" ht="12.75" customHeight="1" outlineLevel="1">
      <c r="A118" s="83"/>
      <c r="B118" s="83"/>
      <c r="C118" s="104"/>
      <c r="D118" s="85"/>
      <c r="E118" s="163" t="str">
        <f xml:space="preserve"> E$113</f>
        <v>Forecast Error %</v>
      </c>
      <c r="F118" s="276">
        <f xml:space="preserve"> F$113</f>
        <v>0.10441453166833074</v>
      </c>
      <c r="G118" s="163" t="str">
        <f xml:space="preserve"> G$113</f>
        <v>%</v>
      </c>
      <c r="H118" s="163"/>
      <c r="I118" s="276"/>
      <c r="J118" s="163"/>
      <c r="K118" s="163"/>
      <c r="L118" s="163"/>
      <c r="M118" s="163"/>
      <c r="N118" s="163"/>
      <c r="O118"/>
      <c r="P118" s="335"/>
      <c r="Q118" s="335"/>
      <c r="R118" s="335"/>
    </row>
    <row r="119" spans="1:18" s="241" customFormat="1" ht="12.75" customHeight="1" outlineLevel="1">
      <c r="A119" s="103"/>
      <c r="B119" s="103"/>
      <c r="C119" s="104"/>
      <c r="D119" s="218"/>
      <c r="E119" s="290" t="s">
        <v>204</v>
      </c>
      <c r="F119" s="291" t="b">
        <f xml:space="preserve"> IF( F118 &gt;= F117, TRUE, FALSE)</f>
        <v>1</v>
      </c>
      <c r="G119" s="304" t="s">
        <v>205</v>
      </c>
      <c r="H119" s="290"/>
      <c r="I119" s="290"/>
      <c r="J119" s="290"/>
      <c r="K119" s="290"/>
      <c r="L119" s="290"/>
      <c r="M119" s="290"/>
      <c r="N119" s="290"/>
      <c r="O119" s="149"/>
    </row>
    <row r="120" spans="1:18" s="168" customFormat="1" ht="12.75" customHeight="1" outlineLevel="1">
      <c r="A120" s="83"/>
      <c r="B120" s="83"/>
      <c r="C120" s="104"/>
      <c r="D120" s="85"/>
      <c r="E120" s="305"/>
      <c r="F120" s="276"/>
      <c r="G120" s="277"/>
      <c r="H120" s="163"/>
      <c r="I120" s="163"/>
      <c r="J120" s="163"/>
      <c r="K120" s="163"/>
      <c r="L120" s="163"/>
      <c r="M120" s="163"/>
      <c r="N120" s="163"/>
      <c r="O120"/>
    </row>
    <row r="121" spans="1:18" s="300" customFormat="1" ht="12.75" customHeight="1" outlineLevel="1">
      <c r="A121" s="83"/>
      <c r="B121" s="83"/>
      <c r="C121" s="104"/>
      <c r="D121" s="85"/>
      <c r="E121" s="169" t="str">
        <f xml:space="preserve"> InputsR!E$27</f>
        <v>Penalty rate</v>
      </c>
      <c r="F121" s="193">
        <f xml:space="preserve"> InputsR!F$27</f>
        <v>0.1</v>
      </c>
      <c r="G121" s="169" t="str">
        <f xml:space="preserve"> InputsR!G$27</f>
        <v>%</v>
      </c>
      <c r="H121" s="169"/>
      <c r="I121" s="163"/>
      <c r="J121" s="163"/>
      <c r="K121" s="163"/>
      <c r="L121" s="163"/>
      <c r="M121" s="163"/>
      <c r="N121" s="163"/>
      <c r="O121"/>
      <c r="P121" s="335"/>
      <c r="Q121" s="335"/>
      <c r="R121" s="335"/>
    </row>
    <row r="122" spans="1:18" s="149" customFormat="1" outlineLevel="1">
      <c r="A122" s="16"/>
      <c r="B122" s="16"/>
      <c r="C122" s="17"/>
      <c r="D122" s="158"/>
      <c r="E122" s="301" t="str">
        <f xml:space="preserve"> InputsR!E$19</f>
        <v>Revised unadjusted revenue (URt) - 2017-18 FYA (CPIH deflated)</v>
      </c>
      <c r="F122" s="302">
        <f xml:space="preserve"> InputsR!F$19</f>
        <v>0</v>
      </c>
      <c r="G122" s="302" t="str">
        <f xml:space="preserve"> InputsR!G$19</f>
        <v>£m</v>
      </c>
      <c r="H122" s="303">
        <f xml:space="preserve"> InputsR!H$19</f>
        <v>808.11199999999997</v>
      </c>
      <c r="I122" s="302">
        <f xml:space="preserve"> InputsR!I$19</f>
        <v>0</v>
      </c>
      <c r="J122" s="302">
        <f xml:space="preserve"> InputsR!J$19</f>
        <v>0</v>
      </c>
      <c r="K122" s="302">
        <f xml:space="preserve"> InputsR!K$19</f>
        <v>0</v>
      </c>
      <c r="L122" s="302">
        <f xml:space="preserve"> InputsR!L$19</f>
        <v>0</v>
      </c>
      <c r="M122" s="302">
        <f xml:space="preserve"> InputsR!M$19</f>
        <v>0</v>
      </c>
      <c r="N122" s="303">
        <f xml:space="preserve"> InputsR!N$19</f>
        <v>158.887</v>
      </c>
      <c r="O122" s="303">
        <f xml:space="preserve"> InputsR!O$19</f>
        <v>160.767</v>
      </c>
      <c r="P122" s="303">
        <f xml:space="preserve"> InputsR!P$19</f>
        <v>160.09899999999999</v>
      </c>
      <c r="Q122" s="303">
        <f xml:space="preserve"> InputsR!Q$19</f>
        <v>163.34899999999999</v>
      </c>
      <c r="R122" s="303">
        <f xml:space="preserve"> InputsR!R$19</f>
        <v>165.01</v>
      </c>
    </row>
    <row r="123" spans="1:18" s="308" customFormat="1" ht="12.75" customHeight="1" outlineLevel="1">
      <c r="A123" s="103"/>
      <c r="B123" s="103"/>
      <c r="C123" s="104"/>
      <c r="D123" s="218"/>
      <c r="E123" s="290" t="str">
        <f xml:space="preserve"> E$113</f>
        <v>Forecast Error %</v>
      </c>
      <c r="F123" s="291">
        <f xml:space="preserve"> F$113</f>
        <v>0.10441453166833074</v>
      </c>
      <c r="G123" s="290" t="str">
        <f xml:space="preserve"> G$113</f>
        <v>%</v>
      </c>
      <c r="H123" s="290"/>
      <c r="I123" s="290"/>
      <c r="J123" s="290"/>
      <c r="K123" s="290"/>
      <c r="L123" s="290"/>
      <c r="M123" s="290"/>
      <c r="N123" s="290"/>
      <c r="O123" s="149"/>
      <c r="P123" s="339"/>
      <c r="Q123" s="339"/>
      <c r="R123" s="339"/>
    </row>
    <row r="124" spans="1:18" s="300" customFormat="1" ht="12.75" customHeight="1" outlineLevel="1">
      <c r="A124" s="83"/>
      <c r="B124" s="83"/>
      <c r="C124" s="104"/>
      <c r="D124" s="85"/>
      <c r="E124" s="163" t="str">
        <f xml:space="preserve"> E$119</f>
        <v>Penalty required ?</v>
      </c>
      <c r="F124" s="163" t="b">
        <f xml:space="preserve"> F$119</f>
        <v>1</v>
      </c>
      <c r="G124" s="163" t="str">
        <f xml:space="preserve"> G$119</f>
        <v>Boolean</v>
      </c>
      <c r="H124" s="163"/>
      <c r="I124" s="163"/>
      <c r="J124" s="163"/>
      <c r="K124" s="163"/>
      <c r="L124" s="163"/>
      <c r="M124" s="163"/>
      <c r="N124" s="163"/>
      <c r="O124"/>
      <c r="P124" s="335"/>
      <c r="Q124" s="335"/>
      <c r="R124" s="335"/>
    </row>
    <row r="125" spans="1:18" s="299" customFormat="1" ht="15" customHeight="1" outlineLevel="1" thickBot="1">
      <c r="A125" s="226"/>
      <c r="B125" s="226"/>
      <c r="C125" s="186"/>
      <c r="D125" s="227"/>
      <c r="E125" s="235" t="s">
        <v>206</v>
      </c>
      <c r="F125" s="235">
        <f xml:space="preserve"> IF($F124 = FALSE, 0, $F121 * $H122 * $F$123 )</f>
        <v>8.4378636015558097</v>
      </c>
      <c r="G125" s="235" t="s">
        <v>107</v>
      </c>
      <c r="H125" s="235"/>
      <c r="I125" s="235"/>
      <c r="J125" s="309"/>
      <c r="K125" s="309"/>
      <c r="L125" s="309"/>
      <c r="M125" s="309"/>
      <c r="N125" s="309"/>
      <c r="O125" s="309"/>
      <c r="P125" s="309"/>
      <c r="Q125" s="309"/>
      <c r="R125" s="235"/>
    </row>
    <row r="126" spans="1:18" ht="15" customHeight="1" thickTop="1">
      <c r="A126" s="229"/>
      <c r="B126" s="229"/>
      <c r="C126" s="221"/>
      <c r="D126" s="222"/>
      <c r="E126" s="206"/>
      <c r="F126" s="206"/>
      <c r="G126" s="206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</row>
    <row r="127" spans="1:18">
      <c r="A127" s="127" t="s">
        <v>173</v>
      </c>
      <c r="B127" s="127"/>
      <c r="C127" s="128"/>
      <c r="D127" s="236"/>
      <c r="E127" s="128"/>
      <c r="F127" s="129"/>
      <c r="G127" s="237"/>
      <c r="H127" s="127"/>
      <c r="I127" s="127"/>
      <c r="J127" s="238"/>
      <c r="K127" s="238"/>
      <c r="L127" s="127"/>
      <c r="M127" s="127"/>
      <c r="N127" s="127"/>
      <c r="O127" s="127"/>
      <c r="P127" s="127"/>
      <c r="Q127" s="127"/>
      <c r="R127" s="127"/>
    </row>
    <row r="128" spans="1:18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35"/>
      <c r="R414" s="335"/>
    </row>
    <row r="415" spans="1:18" hidden="1">
      <c r="Q415" s="335"/>
      <c r="R415" s="335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35"/>
      <c r="R901" s="335"/>
    </row>
    <row r="902" spans="1:18" hidden="1">
      <c r="Q902" s="335"/>
      <c r="R902" s="335"/>
    </row>
    <row r="903" spans="1:18" hidden="1">
      <c r="Q903" s="335"/>
      <c r="R903" s="335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35"/>
      <c r="R904" s="335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35"/>
      <c r="R905" s="335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35"/>
      <c r="R906" s="335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35"/>
      <c r="R907" s="335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35"/>
      <c r="R908" s="335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35"/>
      <c r="R909" s="335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35"/>
      <c r="R910" s="335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35"/>
      <c r="R911" s="335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35"/>
      <c r="R912" s="335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35"/>
      <c r="R913" s="335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35"/>
      <c r="R914" s="335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35"/>
      <c r="R915" s="335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35"/>
      <c r="R916" s="335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35"/>
      <c r="R917" s="335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35"/>
      <c r="R918" s="335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35"/>
      <c r="R919" s="335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35"/>
      <c r="R920" s="335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35"/>
      <c r="R921" s="335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35"/>
      <c r="R922" s="335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35"/>
      <c r="R923" s="335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35"/>
      <c r="R924" s="335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35"/>
      <c r="R925" s="335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35"/>
      <c r="R926" s="335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35"/>
      <c r="R927" s="335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35"/>
      <c r="R928" s="335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35"/>
      <c r="R929" s="335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35"/>
      <c r="R930" s="335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35"/>
      <c r="R931" s="335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35"/>
      <c r="R932" s="335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35"/>
      <c r="R933" s="335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35"/>
      <c r="R934" s="335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35"/>
      <c r="R935" s="335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35"/>
      <c r="R936" s="335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35"/>
      <c r="R937" s="335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35"/>
      <c r="R938" s="335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35"/>
      <c r="R939" s="335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35"/>
      <c r="R940" s="335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35"/>
      <c r="R941" s="335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35"/>
      <c r="R942" s="335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35"/>
      <c r="R943" s="335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35"/>
      <c r="R944" s="335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35"/>
      <c r="R945" s="335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35"/>
      <c r="R946" s="335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35"/>
      <c r="R947" s="335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35"/>
      <c r="R948" s="335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35"/>
      <c r="R949" s="335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35"/>
      <c r="R950" s="335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35"/>
      <c r="R951" s="335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35"/>
      <c r="R1135" s="335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35"/>
      <c r="R1136" s="335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35"/>
      <c r="R1137" s="335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35"/>
      <c r="R1138" s="335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35"/>
      <c r="R1139" s="335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35"/>
      <c r="R1140" s="335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35"/>
      <c r="R1141" s="335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35"/>
      <c r="R1142" s="335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35"/>
      <c r="R1143" s="335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35"/>
      <c r="R1144" s="335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35"/>
      <c r="R1145" s="335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35"/>
      <c r="R1146" s="335"/>
    </row>
    <row r="1147" spans="1:18" hidden="1">
      <c r="Q1147" s="335"/>
      <c r="R1147" s="335"/>
    </row>
    <row r="1148" spans="1:18" hidden="1">
      <c r="Q1148" s="335"/>
      <c r="R1148" s="335"/>
    </row>
    <row r="1149" spans="1:18" hidden="1">
      <c r="Q1149" s="335"/>
      <c r="R1149" s="335"/>
    </row>
    <row r="1150" spans="1:18" hidden="1">
      <c r="Q1150" s="335"/>
      <c r="R1150" s="335"/>
    </row>
    <row r="1151" spans="1:18" hidden="1">
      <c r="Q1151" s="335"/>
      <c r="R1151" s="335"/>
    </row>
    <row r="1152" spans="1:18" hidden="1">
      <c r="Q1152" s="335"/>
      <c r="R1152" s="335"/>
    </row>
    <row r="1153" spans="17:18" hidden="1">
      <c r="Q1153" s="335"/>
      <c r="R1153" s="335"/>
    </row>
    <row r="1154" spans="17:18" hidden="1">
      <c r="Q1154" s="335"/>
      <c r="R1154" s="335"/>
    </row>
    <row r="1155" spans="17:18" hidden="1">
      <c r="Q1155" s="335"/>
      <c r="R1155" s="335"/>
    </row>
    <row r="1156" spans="17:18" hidden="1">
      <c r="Q1156" s="335"/>
      <c r="R1156" s="335"/>
    </row>
    <row r="1157" spans="17:18" hidden="1">
      <c r="Q1157" s="335"/>
      <c r="R1157" s="335"/>
    </row>
    <row r="1158" spans="17:18" hidden="1">
      <c r="Q1158" s="335"/>
      <c r="R1158" s="335"/>
    </row>
    <row r="1159" spans="17:18" hidden="1">
      <c r="Q1159" s="335"/>
      <c r="R1159" s="335"/>
    </row>
    <row r="1160" spans="17:18" hidden="1">
      <c r="Q1160" s="335"/>
      <c r="R1160" s="335"/>
    </row>
    <row r="1161" spans="17:18" hidden="1">
      <c r="Q1161" s="335"/>
      <c r="R1161" s="335"/>
    </row>
    <row r="1162" spans="17:18" hidden="1">
      <c r="Q1162" s="335"/>
      <c r="R1162" s="335"/>
    </row>
    <row r="1163" spans="17:18" hidden="1">
      <c r="Q1163" s="335"/>
      <c r="R1163" s="335"/>
    </row>
    <row r="1164" spans="17:18" hidden="1">
      <c r="Q1164" s="335"/>
      <c r="R1164" s="335"/>
    </row>
    <row r="1165" spans="17:18">
      <c r="Q1165" s="335"/>
      <c r="R1165" s="335"/>
    </row>
    <row r="1166" spans="17:18">
      <c r="Q1166" s="335"/>
      <c r="R1166" s="335"/>
    </row>
    <row r="1167" spans="17:18">
      <c r="Q1167" s="335"/>
      <c r="R1167" s="335"/>
    </row>
    <row r="1168" spans="17:18">
      <c r="Q1168" s="335"/>
      <c r="R1168" s="335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5" priority="11" operator="equal">
      <formula>"Post-Fcst"</formula>
    </cfRule>
    <cfRule type="cellIs" dxfId="4" priority="12" operator="equal">
      <formula>"Forecast"</formula>
    </cfRule>
    <cfRule type="cellIs" dxfId="3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tabSelected="1" zoomScale="114" zoomScaleNormal="114" workbookViewId="0">
      <pane xSplit="9" ySplit="5" topLeftCell="J6" activePane="bottomRight" state="frozen"/>
      <selection pane="bottomRight" activeCell="H9" sqref="H9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71.5703125" bestFit="1" customWidth="1"/>
    <col min="6" max="6" width="14.140625" customWidth="1"/>
    <col min="7" max="7" width="11.140625" customWidth="1"/>
    <col min="8" max="8" width="12.7109375" bestFit="1" customWidth="1"/>
    <col min="9" max="9" width="1.42578125" customWidth="1"/>
    <col min="10" max="18" width="11.85546875" customWidth="1"/>
    <col min="19" max="16384" width="8.85546875" hidden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I2" s="117">
        <f xml:space="preserve"> Time!I$2</f>
        <v>0</v>
      </c>
      <c r="J2" s="338">
        <f xml:space="preserve"> Time!J$21</f>
        <v>42825</v>
      </c>
      <c r="K2" s="338">
        <f xml:space="preserve"> Time!K$21</f>
        <v>43190</v>
      </c>
      <c r="L2" s="338">
        <f xml:space="preserve"> Time!L$21</f>
        <v>43555</v>
      </c>
      <c r="M2" s="338">
        <f xml:space="preserve"> Time!M$21</f>
        <v>43921</v>
      </c>
      <c r="N2" s="338">
        <f xml:space="preserve"> Time!N$21</f>
        <v>44286</v>
      </c>
      <c r="O2" s="338">
        <f xml:space="preserve"> Time!O$21</f>
        <v>44651</v>
      </c>
      <c r="P2" s="338">
        <f xml:space="preserve"> Time!P$21</f>
        <v>45016</v>
      </c>
      <c r="Q2" s="338">
        <f xml:space="preserve"> Time!Q$21</f>
        <v>45382</v>
      </c>
      <c r="R2" s="338">
        <f xml:space="preserve"> Time!R$21</f>
        <v>45747</v>
      </c>
    </row>
    <row r="3" spans="1:18">
      <c r="A3" s="10"/>
      <c r="B3" s="2"/>
      <c r="C3" s="3"/>
      <c r="D3" s="11"/>
      <c r="E3" s="117" t="str">
        <f xml:space="preserve"> Time!E$3</f>
        <v>Pre Forecast vs Forecast</v>
      </c>
      <c r="I3" s="117">
        <f xml:space="preserve"> Time!I$3</f>
        <v>0</v>
      </c>
      <c r="J3" s="335" t="str">
        <f xml:space="preserve"> Time!J55</f>
        <v>Pre Fcst</v>
      </c>
      <c r="K3" s="335" t="str">
        <f xml:space="preserve"> Time!K55</f>
        <v>Pre Fcst</v>
      </c>
      <c r="L3" s="335" t="str">
        <f xml:space="preserve"> Time!L55</f>
        <v>Pre Fcst</v>
      </c>
      <c r="M3" s="335" t="str">
        <f xml:space="preserve"> Time!M55</f>
        <v>Pre Fcst</v>
      </c>
      <c r="N3" s="335" t="str">
        <f xml:space="preserve"> Time!N55</f>
        <v>Forecast</v>
      </c>
      <c r="O3" s="335" t="str">
        <f xml:space="preserve"> Time!O55</f>
        <v>Forecast</v>
      </c>
      <c r="P3" s="335" t="str">
        <f xml:space="preserve"> Time!P55</f>
        <v>Forecast</v>
      </c>
      <c r="Q3" s="335" t="str">
        <f xml:space="preserve"> Time!Q55</f>
        <v>Forecast</v>
      </c>
      <c r="R3" s="335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31"/>
      <c r="I4" s="117">
        <f xml:space="preserve"> Time!I$4</f>
        <v>0</v>
      </c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207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117" customFormat="1" ht="12.95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61" customFormat="1" ht="12.6">
      <c r="E9" s="161" t="str">
        <f xml:space="preserve"> Calc!E$95</f>
        <v>Total bioresources revenue adjustment to be applied in PR24</v>
      </c>
      <c r="F9" s="161">
        <f xml:space="preserve"> Calc!F$95</f>
        <v>0</v>
      </c>
      <c r="G9" s="161" t="str">
        <f xml:space="preserve"> Calc!G$95</f>
        <v>£m</v>
      </c>
      <c r="H9" s="169">
        <f xml:space="preserve"> Calc!H$95</f>
        <v>1.2030382105237272</v>
      </c>
      <c r="I9" s="169">
        <f xml:space="preserve"> Calc!I$95</f>
        <v>0</v>
      </c>
      <c r="J9" s="169">
        <f xml:space="preserve"> Calc!J$95</f>
        <v>0</v>
      </c>
      <c r="K9" s="169">
        <f xml:space="preserve"> Calc!K$95</f>
        <v>0</v>
      </c>
      <c r="L9" s="169">
        <f xml:space="preserve"> Calc!L$95</f>
        <v>0</v>
      </c>
      <c r="M9" s="169">
        <f xml:space="preserve"> Calc!M$95</f>
        <v>0</v>
      </c>
      <c r="N9" s="169">
        <f xml:space="preserve"> Calc!N$95</f>
        <v>0</v>
      </c>
      <c r="O9" s="169">
        <f xml:space="preserve"> Calc!O$95</f>
        <v>0</v>
      </c>
      <c r="P9" s="169">
        <f xml:space="preserve"> Calc!P$95</f>
        <v>0</v>
      </c>
      <c r="Q9" s="169">
        <f xml:space="preserve"> Calc!Q$95</f>
        <v>0</v>
      </c>
      <c r="R9" s="169">
        <f xml:space="preserve"> Calc!R$95</f>
        <v>1.2030382105237272</v>
      </c>
    </row>
    <row r="10" spans="1:18" s="161" customFormat="1" ht="12.6"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18" s="161" customFormat="1" ht="12.6">
      <c r="E11" s="169" t="str">
        <f xml:space="preserve"> Calc!E$125</f>
        <v>Bioresources forecasting accuracy incentive penalty - 2017-18 FYA (CPIH deflated)</v>
      </c>
      <c r="F11" s="169">
        <f xml:space="preserve"> Calc!F$125</f>
        <v>8.4378636015558097</v>
      </c>
      <c r="G11" s="169" t="str">
        <f xml:space="preserve"> Calc!G$125</f>
        <v>£m</v>
      </c>
      <c r="H11" s="169">
        <f xml:space="preserve"> Calc!H$125</f>
        <v>0</v>
      </c>
      <c r="I11" s="169">
        <f xml:space="preserve"> Calc!I$125</f>
        <v>0</v>
      </c>
      <c r="J11" s="169">
        <f xml:space="preserve"> Calc!J$125</f>
        <v>0</v>
      </c>
      <c r="K11" s="169">
        <f xml:space="preserve"> Calc!K$125</f>
        <v>0</v>
      </c>
      <c r="L11" s="169">
        <f xml:space="preserve"> Calc!L$125</f>
        <v>0</v>
      </c>
      <c r="M11" s="169">
        <f xml:space="preserve"> Calc!M$125</f>
        <v>0</v>
      </c>
      <c r="N11" s="169">
        <f xml:space="preserve"> Calc!N$125</f>
        <v>0</v>
      </c>
      <c r="O11" s="169">
        <f xml:space="preserve"> Calc!O$125</f>
        <v>0</v>
      </c>
      <c r="P11" s="169">
        <f xml:space="preserve"> Calc!P$125</f>
        <v>0</v>
      </c>
      <c r="Q11" s="169">
        <f xml:space="preserve"> Calc!Q$125</f>
        <v>0</v>
      </c>
      <c r="R11" s="169">
        <f xml:space="preserve"> Calc!R$125</f>
        <v>0</v>
      </c>
    </row>
    <row r="12" spans="1:18" s="117" customFormat="1" ht="12.6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36" customFormat="1" ht="12.95">
      <c r="A13" s="127" t="s">
        <v>208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s="117" customFormat="1" ht="12.6"/>
    <row r="15" spans="1:18" s="117" customFormat="1" ht="12.6" hidden="1"/>
    <row r="16" spans="1:18" s="117" customFormat="1" ht="12.6" hidden="1"/>
    <row r="17" s="117" customFormat="1" ht="12.6" hidden="1"/>
    <row r="18" s="117" customFormat="1" ht="12.6" hidden="1"/>
    <row r="19" s="117" customFormat="1" ht="12.6" hidden="1"/>
    <row r="20" s="117" customFormat="1" ht="12.6" hidden="1"/>
    <row r="21" s="117" customFormat="1" ht="12.6" hidden="1"/>
    <row r="22" s="117" customFormat="1" ht="12.6" hidden="1"/>
    <row r="23" s="117" customFormat="1" ht="12.6" hidden="1"/>
    <row r="24" s="117" customFormat="1" ht="12.6" hidden="1"/>
    <row r="25" s="117" customFormat="1" ht="12.6" hidden="1"/>
    <row r="26" s="117" customFormat="1" ht="12.6" hidden="1"/>
    <row r="27" s="117" customFormat="1" ht="12.6" hidden="1"/>
    <row r="28" s="117" customFormat="1" ht="12.6" hidden="1"/>
    <row r="29" s="117" customFormat="1" ht="12.6" hidden="1"/>
  </sheetData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4C6218F23164E9DFC8866A75276D6" ma:contentTypeVersion="19" ma:contentTypeDescription="Create a new document." ma:contentTypeScope="" ma:versionID="a72cb858095bd781c908b5981da47552">
  <xsd:schema xmlns:xsd="http://www.w3.org/2001/XMLSchema" xmlns:xs="http://www.w3.org/2001/XMLSchema" xmlns:p="http://schemas.microsoft.com/office/2006/metadata/properties" xmlns:ns2="9c5cf6ab-7529-48eb-a1eb-dd473f76c5bf" xmlns:ns3="5f825c9b-4e7d-40ef-89ca-0b17b57e62b8" targetNamespace="http://schemas.microsoft.com/office/2006/metadata/properties" ma:root="true" ma:fieldsID="31e056a1524574b45df6f5edee7ae22d" ns2:_="" ns3:_="">
    <xsd:import namespace="9c5cf6ab-7529-48eb-a1eb-dd473f76c5bf"/>
    <xsd:import namespace="5f825c9b-4e7d-40ef-89ca-0b17b57e6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Coverage" minOccurs="0"/>
                <xsd:element ref="ns2:Status" minOccurs="0"/>
                <xsd:element ref="ns2:Central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f6ab-7529-48eb-a1eb-dd473f76c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db27365-52eb-41c3-9d47-32873fc17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Coverage" ma:index="24" nillable="true" ma:displayName="Coverage" ma:format="Dropdown" ma:internalName="Coverage">
      <xsd:simpleType>
        <xsd:restriction base="dms:Text">
          <xsd:maxLength value="255"/>
        </xsd:restriction>
      </xsd:simpleType>
    </xsd:element>
    <xsd:element name="Status" ma:index="25" nillable="true" ma:displayName="Status (for HR use only)" ma:format="Dropdown" ma:internalName="Status">
      <xsd:simpleType>
        <xsd:restriction base="dms:Choice">
          <xsd:enumeration value="Complete by HR"/>
          <xsd:enumeration value="Choice 2"/>
          <xsd:enumeration value="Choice 3"/>
        </xsd:restriction>
      </xsd:simpleType>
    </xsd:element>
    <xsd:element name="CentralLocked" ma:index="26" nillable="true" ma:displayName="Central Locked" ma:format="Dropdown" ma:internalName="CentralLock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25c9b-4e7d-40ef-89ca-0b17b57e6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c0901c5-1ba8-4e8c-ba78-4715d38455bb}" ma:internalName="TaxCatchAll" ma:showField="CatchAllData" ma:web="5f825c9b-4e7d-40ef-89ca-0b17b57e6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825c9b-4e7d-40ef-89ca-0b17b57e62b8" xsi:nil="true"/>
    <Status xmlns="9c5cf6ab-7529-48eb-a1eb-dd473f76c5bf" xsi:nil="true"/>
    <Coverage xmlns="9c5cf6ab-7529-48eb-a1eb-dd473f76c5bf" xsi:nil="true"/>
    <lcf76f155ced4ddcb4097134ff3c332f xmlns="9c5cf6ab-7529-48eb-a1eb-dd473f76c5bf">
      <Terms xmlns="http://schemas.microsoft.com/office/infopath/2007/PartnerControls"/>
    </lcf76f155ced4ddcb4097134ff3c332f>
    <CentralLocked xmlns="9c5cf6ab-7529-48eb-a1eb-dd473f76c5bf" xsi:nil="true"/>
  </documentManagement>
</p:properties>
</file>

<file path=customXml/itemProps1.xml><?xml version="1.0" encoding="utf-8"?>
<ds:datastoreItem xmlns:ds="http://schemas.openxmlformats.org/officeDocument/2006/customXml" ds:itemID="{87A2892E-AD85-40F4-8F87-949E445661C7}"/>
</file>

<file path=customXml/itemProps2.xml><?xml version="1.0" encoding="utf-8"?>
<ds:datastoreItem xmlns:ds="http://schemas.openxmlformats.org/officeDocument/2006/customXml" ds:itemID="{668219D2-9B87-4E04-980C-D04173C2EEBD}"/>
</file>

<file path=customXml/itemProps3.xml><?xml version="1.0" encoding="utf-8"?>
<ds:datastoreItem xmlns:ds="http://schemas.openxmlformats.org/officeDocument/2006/customXml" ds:itemID="{F446F506-E40F-4778-8CA0-10D7E8B6C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TMS-DD-009-Bioresources-revenue-reconciliation-model</dc:title>
  <dc:subject/>
  <dc:creator/>
  <cp:keywords/>
  <dc:description/>
  <cp:lastModifiedBy>kassandra.byaruhanga@baringa.com</cp:lastModifiedBy>
  <cp:revision>1</cp:revision>
  <dcterms:created xsi:type="dcterms:W3CDTF">2020-02-28T16:46:47Z</dcterms:created>
  <dcterms:modified xsi:type="dcterms:W3CDTF">2024-08-28T09:13:26Z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0x010100F544C6218F23164E9DFC8866A75276D6</vt:lpwstr>
  </property>
  <property fmtid="{D5CDD505-2E9C-101B-9397-08002B2CF9AE}" pid="3" name="Meeting">
    <vt:lpwstr/>
  </property>
  <property fmtid="{D5CDD505-2E9C-101B-9397-08002B2CF9AE}" pid="4" name="Stakeholder 4">
    <vt:lpwstr/>
  </property>
  <property fmtid="{D5CDD505-2E9C-101B-9397-08002B2CF9AE}" pid="5" name="Stakeholder 2">
    <vt:lpwstr/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>1896;#Company performance monitoring ＆ engagement|3cbb2248-aeb0-4f5e-8833-d72f52afb8f0</vt:lpwstr>
  </property>
  <property fmtid="{D5CDD505-2E9C-101B-9397-08002B2CF9AE}" pid="10" name="Stakeholder 3">
    <vt:lpwstr/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">
    <vt:lpwstr>25;#Water and wastewater companies (WaSCs)|1f450446-47d1-4fe9-8d64-c249a3be1897</vt:lpwstr>
  </property>
  <property fmtid="{D5CDD505-2E9C-101B-9397-08002B2CF9AE}" pid="13" name="Order">
    <vt:r8>746300</vt:r8>
  </property>
  <property fmtid="{D5CDD505-2E9C-101B-9397-08002B2CF9AE}" pid="14" name="Folder Audit History">
    <vt:lpwstr/>
  </property>
  <property fmtid="{D5CDD505-2E9C-101B-9397-08002B2CF9AE}" pid="15" name="xd_ProgID">
    <vt:lpwstr/>
  </property>
  <property fmtid="{D5CDD505-2E9C-101B-9397-08002B2CF9AE}" pid="16" name="TemplateUrl">
    <vt:lpwstr/>
  </property>
  <property fmtid="{D5CDD505-2E9C-101B-9397-08002B2CF9AE}" pid="17" name="Folder Status">
    <vt:lpwstr/>
  </property>
  <property fmtid="{D5CDD505-2E9C-101B-9397-08002B2CF9AE}" pid="18" name="Asset">
    <vt:lpwstr/>
  </property>
  <property fmtid="{D5CDD505-2E9C-101B-9397-08002B2CF9AE}" pid="19" name="_CopySource">
    <vt:lpwstr/>
  </property>
  <property fmtid="{D5CDD505-2E9C-101B-9397-08002B2CF9AE}" pid="20" name="Original Role Assignments">
    <vt:lpwstr/>
  </property>
  <property fmtid="{D5CDD505-2E9C-101B-9397-08002B2CF9AE}" pid="21" name="Inheritance Broken by Folder Closure">
    <vt:lpwstr/>
  </property>
  <property fmtid="{D5CDD505-2E9C-101B-9397-08002B2CF9AE}" pid="22" name="b128efbe498d4e38a73555a2e7be12ea">
    <vt:lpwstr/>
  </property>
  <property fmtid="{D5CDD505-2E9C-101B-9397-08002B2CF9AE}" pid="23" name="j014a7bd3fd34d828fc493e84f684b49">
    <vt:lpwstr/>
  </property>
  <property fmtid="{D5CDD505-2E9C-101B-9397-08002B2CF9AE}" pid="24" name="b2faa34e97554b63aaaf45270201a270">
    <vt:lpwstr/>
  </property>
  <property fmtid="{D5CDD505-2E9C-101B-9397-08002B2CF9AE}" pid="25" name="j7c77f2a1a924badb0d621542422dc19">
    <vt:lpwstr/>
  </property>
  <property fmtid="{D5CDD505-2E9C-101B-9397-08002B2CF9AE}" pid="26" name="oe9d4f963f4c420b8d2b35d038476850">
    <vt:lpwstr>Company performance monitoring ＆ engagement|3cbb2248-aeb0-4f5e-8833-d72f52afb8f0</vt:lpwstr>
  </property>
  <property fmtid="{D5CDD505-2E9C-101B-9397-08002B2CF9AE}" pid="27" name="f8aa492165544285b4c7fe9d1b6ad82c">
    <vt:lpwstr/>
  </property>
  <property fmtid="{D5CDD505-2E9C-101B-9397-08002B2CF9AE}" pid="28" name="m279c8e365374608a4eb2bb657f838c2">
    <vt:lpwstr/>
  </property>
  <property fmtid="{D5CDD505-2E9C-101B-9397-08002B2CF9AE}" pid="29" name="Stakeholder_x0020_3">
    <vt:lpwstr/>
  </property>
  <property fmtid="{D5CDD505-2E9C-101B-9397-08002B2CF9AE}" pid="30" name="Stakeholder_x0020_4">
    <vt:lpwstr/>
  </property>
  <property fmtid="{D5CDD505-2E9C-101B-9397-08002B2CF9AE}" pid="31" name="Stakeholder_x0020_2">
    <vt:lpwstr/>
  </property>
  <property fmtid="{D5CDD505-2E9C-101B-9397-08002B2CF9AE}" pid="32" name="Stakeholder_x0020_5">
    <vt:lpwstr/>
  </property>
  <property fmtid="{D5CDD505-2E9C-101B-9397-08002B2CF9AE}" pid="33" name="MediaServiceImageTags">
    <vt:lpwstr/>
  </property>
</Properties>
</file>