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mc:AlternateContent xmlns:mc="http://schemas.openxmlformats.org/markup-compatibility/2006">
    <mc:Choice Requires="x15">
      <x15ac:absPath xmlns:x15ac="http://schemas.microsoft.com/office/spreadsheetml/2010/11/ac" url="C:\Users\jwhite4\Desktop\"/>
    </mc:Choice>
  </mc:AlternateContent>
  <xr:revisionPtr revIDLastSave="0" documentId="8_{890AC39F-2124-4409-BDDB-5329476AA1A2}" xr6:coauthVersionLast="47" xr6:coauthVersionMax="47" xr10:uidLastSave="{00000000-0000-0000-0000-000000000000}"/>
  <workbookProtection workbookAlgorithmName="SHA-512" workbookHashValue="4pC6QDdYJubb3TEhOAU4yaQZHGJC1yRP0fksKPvDpuM1iqif2eBNbiK+++x5UcS7Ai1CWwBNehpEIE4/XwlAbA==" workbookSaltValue="77fM3ObMLxFZepRchW8vVg==" workbookSpinCount="100000" lockStructure="1"/>
  <bookViews>
    <workbookView xWindow="15252" yWindow="-936" windowWidth="23256" windowHeight="12576" xr2:uid="{00000000-000D-0000-FFFF-FFFF00000000}"/>
  </bookViews>
  <sheets>
    <sheet name="Main" sheetId="1" r:id="rId1"/>
    <sheet name="Water" sheetId="3" state="hidden" r:id="rId2"/>
    <sheet name="Waste" sheetId="2" state="hidden" r:id="rId3"/>
    <sheet name="List" sheetId="4" state="hidden" r:id="rId4"/>
  </sheets>
  <definedNames>
    <definedName name="_xlnm._FilterDatabase" localSheetId="2" hidden="1">Waste!$H$19:$I$19</definedName>
    <definedName name="_xlnm._FilterDatabase" localSheetId="1" hidden="1">Water!$B$2:$F$47</definedName>
    <definedName name="METER">Waste!$H$2:$Y$17</definedName>
    <definedName name="MISC">Water!$H$16:$I$21</definedName>
    <definedName name="SSSCO">Waste!$B$2:$F$80</definedName>
    <definedName name="UWPipe">Water!$H$2:$M$12</definedName>
    <definedName name="WSSCO">Water!$B$2:$F$47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1" l="1"/>
  <c r="P6" i="1"/>
  <c r="P7" i="1"/>
  <c r="P8" i="1"/>
  <c r="P9" i="1"/>
  <c r="P10" i="1"/>
  <c r="P11" i="1"/>
  <c r="P12" i="1"/>
  <c r="P13" i="1"/>
  <c r="P14" i="1"/>
  <c r="P15" i="1"/>
  <c r="P16" i="1"/>
  <c r="P17" i="1"/>
  <c r="P18" i="1"/>
  <c r="P19" i="1"/>
  <c r="P20" i="1"/>
  <c r="P21" i="1"/>
  <c r="P22" i="1"/>
  <c r="P23" i="1"/>
  <c r="P24" i="1"/>
  <c r="P25" i="1"/>
  <c r="P26" i="1"/>
  <c r="P27" i="1"/>
  <c r="Q5" i="1"/>
  <c r="Q6" i="1"/>
  <c r="Q7" i="1"/>
  <c r="Q8" i="1"/>
  <c r="Q9" i="1"/>
  <c r="Q10" i="1"/>
  <c r="Q11" i="1"/>
  <c r="Q12" i="1"/>
  <c r="Q13" i="1"/>
  <c r="Q14" i="1"/>
  <c r="Q15" i="1"/>
  <c r="Q16" i="1"/>
  <c r="Q17" i="1"/>
  <c r="Q18" i="1"/>
  <c r="Q19" i="1"/>
  <c r="Q20" i="1"/>
  <c r="Q21" i="1"/>
  <c r="Q22" i="1"/>
  <c r="Q23" i="1"/>
  <c r="Q24" i="1"/>
  <c r="Q25" i="1"/>
  <c r="Q26" i="1"/>
  <c r="Q27" i="1"/>
  <c r="Q4" i="1"/>
  <c r="P4" i="1"/>
  <c r="C80" i="2" l="1"/>
  <c r="S5" i="1" l="1"/>
  <c r="B4" i="1" l="1"/>
  <c r="S4" i="1" s="1"/>
  <c r="S10" i="1" l="1"/>
  <c r="R18" i="1"/>
  <c r="E4" i="1"/>
  <c r="C8" i="1"/>
  <c r="P4" i="2"/>
  <c r="Y4" i="2" l="1"/>
  <c r="X4" i="2"/>
  <c r="W4" i="2"/>
  <c r="U4" i="2"/>
  <c r="T4" i="2"/>
  <c r="S4" i="2"/>
  <c r="R4" i="2"/>
  <c r="Q4" i="2"/>
  <c r="S11" i="1" l="1"/>
  <c r="B20" i="1" l="1"/>
  <c r="S8" i="1" l="1"/>
  <c r="B15" i="1"/>
  <c r="B16" i="1"/>
  <c r="B17" i="1"/>
  <c r="B18" i="1"/>
  <c r="B14" i="1"/>
  <c r="B5" i="1"/>
  <c r="S7" i="1" s="1"/>
  <c r="K4" i="3"/>
  <c r="M4" i="3"/>
  <c r="L4" i="3"/>
  <c r="S14" i="1" l="1"/>
  <c r="C2" i="1"/>
  <c r="R20" i="1"/>
  <c r="R19" i="1"/>
  <c r="E5" i="1"/>
  <c r="C6" i="1"/>
  <c r="B6" i="1" s="1"/>
  <c r="S12" i="1"/>
  <c r="S16" i="1"/>
  <c r="R16" i="1"/>
  <c r="R14" i="1"/>
  <c r="R15" i="1"/>
  <c r="R12" i="1"/>
  <c r="R11" i="1"/>
  <c r="R10" i="1"/>
  <c r="C11" i="1"/>
  <c r="C20" i="1"/>
  <c r="R8" i="1"/>
  <c r="R7" i="1"/>
  <c r="R5" i="1"/>
  <c r="R4" i="1"/>
  <c r="C17" i="1"/>
  <c r="C18" i="1"/>
  <c r="C14" i="1"/>
  <c r="C16" i="1"/>
  <c r="C15" i="1"/>
  <c r="C9" i="1"/>
  <c r="C12" i="1"/>
  <c r="S15" i="1"/>
  <c r="S18" i="1" l="1"/>
  <c r="S19" i="1"/>
  <c r="S20" i="1" l="1"/>
</calcChain>
</file>

<file path=xl/sharedStrings.xml><?xml version="1.0" encoding="utf-8"?>
<sst xmlns="http://schemas.openxmlformats.org/spreadsheetml/2006/main" count="637" uniqueCount="222">
  <si>
    <t>Tariff Code</t>
  </si>
  <si>
    <t>Metered</t>
  </si>
  <si>
    <t>Water Tariff Code</t>
  </si>
  <si>
    <t>Sewerage Tariff Code</t>
  </si>
  <si>
    <t>NHHMPW1</t>
  </si>
  <si>
    <t>NHHMS1F</t>
  </si>
  <si>
    <t>Volumetric Charge (£/m3)</t>
  </si>
  <si>
    <t>Supplementary Large User Charge (£/annum)</t>
  </si>
  <si>
    <t>Fixed Charges (£/Annum)</t>
  </si>
  <si>
    <t>Full Value</t>
  </si>
  <si>
    <t>Abated Value</t>
  </si>
  <si>
    <t>NHHASNCHG</t>
  </si>
  <si>
    <t>None</t>
  </si>
  <si>
    <t>∞</t>
  </si>
  <si>
    <t>NHHMS1A</t>
  </si>
  <si>
    <t>NHHMS2F</t>
  </si>
  <si>
    <t>NHHMS2A</t>
  </si>
  <si>
    <t>NHHMS3F</t>
  </si>
  <si>
    <t>NHHMS3A</t>
  </si>
  <si>
    <t>NHHMS4F</t>
  </si>
  <si>
    <t>NHHMS4A</t>
  </si>
  <si>
    <t>NHHMS5F</t>
  </si>
  <si>
    <t>NHHMS8A</t>
  </si>
  <si>
    <t>NHHMS8F</t>
  </si>
  <si>
    <t>NHHMS7A</t>
  </si>
  <si>
    <t>NHHMS7F</t>
  </si>
  <si>
    <t>NHHMS6A</t>
  </si>
  <si>
    <t>NHHMS6F</t>
  </si>
  <si>
    <t>NHHMS5A</t>
  </si>
  <si>
    <t>RTS</t>
  </si>
  <si>
    <t>WCMS</t>
  </si>
  <si>
    <t>SCMS</t>
  </si>
  <si>
    <t>NHHMS7FSAT</t>
  </si>
  <si>
    <t>NHHMS7ASAT</t>
  </si>
  <si>
    <t>NHHMS8FSAT</t>
  </si>
  <si>
    <t>NHHMS8ASAT</t>
  </si>
  <si>
    <t>NHHMPW2</t>
  </si>
  <si>
    <t>NHHMPW3</t>
  </si>
  <si>
    <t>NHHMPW4</t>
  </si>
  <si>
    <t>NHHMPW5</t>
  </si>
  <si>
    <t>NHHMPW6</t>
  </si>
  <si>
    <t>NHHMPW7</t>
  </si>
  <si>
    <t>NHHMPW7SAT</t>
  </si>
  <si>
    <t>NHHMPW5SAT</t>
  </si>
  <si>
    <t>NHHMPW6SAT</t>
  </si>
  <si>
    <t>NHHMPWNCHG</t>
  </si>
  <si>
    <t>Meter Treatment</t>
  </si>
  <si>
    <t>Sewerage Volume</t>
  </si>
  <si>
    <t>Sewerage Charge</t>
  </si>
  <si>
    <t>Meter 01</t>
  </si>
  <si>
    <t>Meter 02</t>
  </si>
  <si>
    <t>Meter 03</t>
  </si>
  <si>
    <t>Meter 04</t>
  </si>
  <si>
    <t>Meter 05</t>
  </si>
  <si>
    <t>Meter 06</t>
  </si>
  <si>
    <t>Meter 07</t>
  </si>
  <si>
    <t>Meter 08</t>
  </si>
  <si>
    <t>Meter 09</t>
  </si>
  <si>
    <t>Meter 10</t>
  </si>
  <si>
    <t>Meter 11</t>
  </si>
  <si>
    <t>Meter 12</t>
  </si>
  <si>
    <t>Meter 13</t>
  </si>
  <si>
    <t>Meter 14</t>
  </si>
  <si>
    <t>Meter 15</t>
  </si>
  <si>
    <t>Meter 16</t>
  </si>
  <si>
    <t>Meter 17</t>
  </si>
  <si>
    <t>Meter 18</t>
  </si>
  <si>
    <t>Meter 19</t>
  </si>
  <si>
    <t>Meter 20</t>
  </si>
  <si>
    <t>Meter 21</t>
  </si>
  <si>
    <t>Meter 22</t>
  </si>
  <si>
    <t>Meter 23</t>
  </si>
  <si>
    <t>Meter 24</t>
  </si>
  <si>
    <t>Expected Annual Volume</t>
  </si>
  <si>
    <t>NHHAW1</t>
  </si>
  <si>
    <t>STOP</t>
  </si>
  <si>
    <t>NHHAW2</t>
  </si>
  <si>
    <t>NHHAW3</t>
  </si>
  <si>
    <t>NHHAW4</t>
  </si>
  <si>
    <t>NHHAWNCHG</t>
  </si>
  <si>
    <t>NHHUW1</t>
  </si>
  <si>
    <t>NHHUW2</t>
  </si>
  <si>
    <t>NHHUW3</t>
  </si>
  <si>
    <t>NHHUW4</t>
  </si>
  <si>
    <t>NHHUW5</t>
  </si>
  <si>
    <t>NHHUW6</t>
  </si>
  <si>
    <t>NHHUW7</t>
  </si>
  <si>
    <t>NHHUW4_12PIPES_10MM</t>
  </si>
  <si>
    <t>NHHUW5_67PIPES_10MM</t>
  </si>
  <si>
    <t>NHHUW6_02PIPES_10MM</t>
  </si>
  <si>
    <t>NHHUW7_02PIPES_10MM</t>
  </si>
  <si>
    <t>NHHUWNCHG</t>
  </si>
  <si>
    <t>NHHUWSUN</t>
  </si>
  <si>
    <t>NHHUS7F</t>
  </si>
  <si>
    <t>Service Component Type</t>
  </si>
  <si>
    <t>Assessed</t>
  </si>
  <si>
    <t>UW</t>
  </si>
  <si>
    <t>UW12</t>
  </si>
  <si>
    <t>UW67</t>
  </si>
  <si>
    <t>UW02</t>
  </si>
  <si>
    <t>Water Chargeable Meter Size Min</t>
  </si>
  <si>
    <t>Water Chargeable Meter Size Max</t>
  </si>
  <si>
    <t>Item</t>
  </si>
  <si>
    <t>Price</t>
  </si>
  <si>
    <t>A</t>
  </si>
  <si>
    <t>B</t>
  </si>
  <si>
    <t>C</t>
  </si>
  <si>
    <t>D</t>
  </si>
  <si>
    <t>E</t>
  </si>
  <si>
    <t>NHHAS1A</t>
  </si>
  <si>
    <t>NHHAS1F</t>
  </si>
  <si>
    <t>NHHAS2A</t>
  </si>
  <si>
    <t>NHHAS2F</t>
  </si>
  <si>
    <t>NHHAS3A</t>
  </si>
  <si>
    <t>NHHAS3F</t>
  </si>
  <si>
    <t>NHHAS4A</t>
  </si>
  <si>
    <t>NHHAS4F</t>
  </si>
  <si>
    <t>NHHASF_02PIPES</t>
  </si>
  <si>
    <t>NHHASF_03PIPES</t>
  </si>
  <si>
    <t>NHHASF_04PIPES</t>
  </si>
  <si>
    <t>NHHASF_06PIPES</t>
  </si>
  <si>
    <t>NHHASF_10PIPES</t>
  </si>
  <si>
    <t>NHHASF_12PIPES</t>
  </si>
  <si>
    <t>NHHSAMS7A</t>
  </si>
  <si>
    <t>NHHSAMS8A</t>
  </si>
  <si>
    <t>NHHSAMNPW1</t>
  </si>
  <si>
    <t>NHHSAMNPW2</t>
  </si>
  <si>
    <t>NHHSAMNPW3</t>
  </si>
  <si>
    <t>NHHSAMNPW4</t>
  </si>
  <si>
    <t>NHHSAMNPW5</t>
  </si>
  <si>
    <t>NHHUS1A</t>
  </si>
  <si>
    <t>NHHUS1F</t>
  </si>
  <si>
    <t>NHHUS2A</t>
  </si>
  <si>
    <t>NHHUS2F</t>
  </si>
  <si>
    <t>NHHUS3A</t>
  </si>
  <si>
    <t>NHHUS3F</t>
  </si>
  <si>
    <t>NHHUS4A</t>
  </si>
  <si>
    <t>NHHUS4F</t>
  </si>
  <si>
    <t>NHHUS4F_12PIPES_10MM</t>
  </si>
  <si>
    <t>NHHUS5A</t>
  </si>
  <si>
    <t>NHHUS5F</t>
  </si>
  <si>
    <t>NHHUS5F_67PIPES_10MM</t>
  </si>
  <si>
    <t>NHHUS6A</t>
  </si>
  <si>
    <t>NHHUS6F</t>
  </si>
  <si>
    <t>NHHUS6F_02PIPES_10MM</t>
  </si>
  <si>
    <t>NHHUS7A</t>
  </si>
  <si>
    <t>NHHUS7F_02PIPES_10MM</t>
  </si>
  <si>
    <t>NHHUSDOF</t>
  </si>
  <si>
    <t>NHHUSNCHG</t>
  </si>
  <si>
    <t>NHHUSSUN</t>
  </si>
  <si>
    <t>DOF</t>
  </si>
  <si>
    <t>Size Min</t>
  </si>
  <si>
    <t>Size Max</t>
  </si>
  <si>
    <t>ASF</t>
  </si>
  <si>
    <t>ASA</t>
  </si>
  <si>
    <t>USF</t>
  </si>
  <si>
    <t>USA</t>
  </si>
  <si>
    <t>AS2</t>
  </si>
  <si>
    <t>AS3</t>
  </si>
  <si>
    <t>AS4</t>
  </si>
  <si>
    <t>AS6</t>
  </si>
  <si>
    <t>AS10</t>
  </si>
  <si>
    <t>AS12</t>
  </si>
  <si>
    <t>US2</t>
  </si>
  <si>
    <t>US12</t>
  </si>
  <si>
    <t>US67</t>
  </si>
  <si>
    <t>Item Count</t>
  </si>
  <si>
    <t>MDVOL (SVAM: SUBTRACT, PRIVATETE ONLY)</t>
  </si>
  <si>
    <t>This spreadsheet is provided for information purposes only, and Thames Water Utilities Limited accepts no liability for the accuracy of its contents, or for any results obtained from its use. Results are dependent on the accuracy of the information input. While every attempt is made to ensure that this spreadsheet is up to date, you are advised  to refer to the latest version of the Thames Water Wholesale Tariff Document or to contact Thames Water directly if you have any doubts. This spreadsheet is provided ‘as-is’ without any warranty as to the ownership of or any rights over the contents.</t>
  </si>
  <si>
    <t>Garage, Car Space Or Store</t>
  </si>
  <si>
    <t>Allotment tank and water/washdown point</t>
  </si>
  <si>
    <t>Sprinkler, cricket pitches, tennis courts, ornamental pond/fountain and misc. supplies</t>
  </si>
  <si>
    <t>Per unmeasured cattle trough</t>
  </si>
  <si>
    <t>Minimum charge for meter minimum equivalents</t>
  </si>
  <si>
    <t>NHHMSNCHG</t>
  </si>
  <si>
    <t>NHHUW04</t>
  </si>
  <si>
    <t>NHHUW05</t>
  </si>
  <si>
    <t>NHHUW01</t>
  </si>
  <si>
    <t>NHHUW02</t>
  </si>
  <si>
    <t>NHHUW02_12PIPES_10MM</t>
  </si>
  <si>
    <t>NHHUW06</t>
  </si>
  <si>
    <t>NHHUW06_67PIPES_10MM</t>
  </si>
  <si>
    <t>NHHUW03</t>
  </si>
  <si>
    <t>NHHUW03_02PIPES_10MM</t>
  </si>
  <si>
    <t>NHHUW07</t>
  </si>
  <si>
    <t>NHHUW07_02PIPES_10MM</t>
  </si>
  <si>
    <t>NHHUS04A</t>
  </si>
  <si>
    <t>NHHUS04F</t>
  </si>
  <si>
    <t>NHHUS05A</t>
  </si>
  <si>
    <t>NHHUS05F</t>
  </si>
  <si>
    <t>NHHUS01A</t>
  </si>
  <si>
    <t>NHHUS01F</t>
  </si>
  <si>
    <t>NHHUS02A</t>
  </si>
  <si>
    <t>NHHUS02F</t>
  </si>
  <si>
    <t>NHHUS02F_12PIPES_10MM</t>
  </si>
  <si>
    <t>NHHUS06A</t>
  </si>
  <si>
    <t>NHHUS06F</t>
  </si>
  <si>
    <t>NHHUS06F_67PIPES_10MM</t>
  </si>
  <si>
    <t>NHHUS03A</t>
  </si>
  <si>
    <t>NHHUS03F</t>
  </si>
  <si>
    <t>NHHUS03F_02PIPES_10MM</t>
  </si>
  <si>
    <t>NHHUS07A</t>
  </si>
  <si>
    <t>NHHUS07F</t>
  </si>
  <si>
    <t>NHHUS07F_02PIPES_10MM</t>
  </si>
  <si>
    <t>SEWERAGE</t>
  </si>
  <si>
    <t>Water</t>
  </si>
  <si>
    <t>[Select Tariff]</t>
  </si>
  <si>
    <t>Waste</t>
  </si>
  <si>
    <t>No. of Meters</t>
  </si>
  <si>
    <t>[Select No. of Meters]</t>
  </si>
  <si>
    <t>Meter 25</t>
  </si>
  <si>
    <t>PLEASE SELECT YOUR TARIFF</t>
  </si>
  <si>
    <t>[Please Select From Drop Down]</t>
  </si>
  <si>
    <t>POTABLE/NON-POTABLE</t>
  </si>
  <si>
    <t>PRIVATE WATER</t>
  </si>
  <si>
    <t>PRIVATE TE</t>
  </si>
  <si>
    <t>[Please enter value]</t>
  </si>
  <si>
    <t>Fixed Charges</t>
  </si>
  <si>
    <t>Seasonal</t>
  </si>
  <si>
    <t>Unmeasured</t>
  </si>
  <si>
    <t>CALCULATOR</t>
  </si>
  <si>
    <t>NHH ANNUAL CHARGE CALCULATOR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</si>
</sst>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_ ;\-#,##0.0000\ "/>
    <numFmt numFmtId="165" formatCode="_-[$£-809]* #,##0.00_-;\-[$£-809]* #,##0.00_-;_-[$£-809]* &quot;-&quot;??_-;_-@_-"/>
    <numFmt numFmtId="166" formatCode="_-* #,##0.0000_-;\-* #,##0.0000_-;_-* &quot;-&quot;??_-;_-@_-"/>
    <numFmt numFmtId="167" formatCode="#,##0.0000"/>
    <numFmt numFmtId="168" formatCode="0.0000"/>
  </numFmts>
  <fonts count="15" x14ac:knownFonts="1">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b/>
      <sz val="11"/>
      <color theme="1"/>
      <name val="Calibri"/>
      <family val="2"/>
      <scheme val="minor"/>
    </font>
    <font>
      <sz val="11"/>
      <color theme="0"/>
      <name val="Calibri"/>
      <family val="2"/>
      <scheme val="minor"/>
    </font>
    <font>
      <sz val="11"/>
      <name val="Calibri"/>
      <family val="2"/>
      <scheme val="minor"/>
    </font>
    <font>
      <i/>
      <sz val="10"/>
      <color rgb="FF1F497D"/>
      <name val="Tahoma"/>
      <family val="2"/>
    </font>
    <font>
      <b/>
      <sz val="12"/>
      <color theme="1"/>
      <name val="Calibri"/>
      <family val="2"/>
      <scheme val="minor"/>
    </font>
    <font>
      <b/>
      <sz val="14"/>
      <color theme="0"/>
      <name val="Calibri"/>
      <family val="2"/>
      <scheme val="minor"/>
    </font>
    <font>
      <sz val="8"/>
      <name val="Calibri"/>
      <family val="2"/>
      <scheme val="minor"/>
    </font>
    <font>
      <sz val="9"/>
      <color theme="1"/>
      <name val="Calibri"/>
      <family val="2"/>
      <scheme val="minor"/>
    </font>
    <font>
      <sz val="9"/>
      <color theme="0"/>
      <name val="Calibri"/>
      <family val="2"/>
      <scheme val="minor"/>
    </font>
    <font>
      <sz val="24"/>
      <color rgb="FF00B0F0"/>
      <name val="Calibri"/>
      <family val="2"/>
      <scheme val="minor"/>
    </font>
    <font>
      <sz val="18"/>
      <color theme="0"/>
      <name val="Calibri"/>
      <family val="2"/>
      <scheme val="minor"/>
    </font>
  </fonts>
  <fills count="6">
    <fill>
      <patternFill patternType="none"/>
    </fill>
    <fill>
      <patternFill patternType="gray125"/>
    </fill>
    <fill>
      <patternFill patternType="solid">
        <fgColor indexed="22"/>
        <bgColor indexed="0"/>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7999816888943144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theme="0"/>
      </top>
      <bottom style="thin">
        <color theme="0"/>
      </bottom>
      <diagonal/>
    </border>
    <border>
      <left/>
      <right/>
      <top style="thin">
        <color theme="0"/>
      </top>
      <bottom/>
      <diagonal/>
    </border>
    <border>
      <left/>
      <right/>
      <top/>
      <bottom style="medium">
        <color theme="0"/>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
      <left/>
      <right/>
      <top style="medium">
        <color auto="1"/>
      </top>
      <bottom/>
      <diagonal/>
    </border>
  </borders>
  <cellStyleXfs count="5">
    <xf numFmtId="0" fontId="0" fillId="0" borderId="0" applyNumberFormat="0" applyFont="0" applyFill="0" applyBorder="0" applyAlignment="0">
      <protection locked="0"/>
    </xf>
    <xf numFmtId="43"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cellStyleXfs>
  <cellXfs count="78">
    <xf numFmtId="0" fontId="0" fillId="0" borderId="0" xfId="0">
      <protection locked="0"/>
    </xf>
    <xf numFmtId="0" fontId="0" fillId="0" borderId="0" xfId="0" applyBorder="1" applyProtection="1">
      <protection hidden="1"/>
    </xf>
    <xf numFmtId="0" fontId="3" fillId="0" borderId="1" xfId="3" applyFont="1" applyFill="1" applyBorder="1" applyAlignment="1" applyProtection="1"/>
    <xf numFmtId="0" fontId="0" fillId="0" borderId="0" xfId="0" applyAlignment="1" applyProtection="1"/>
    <xf numFmtId="43" fontId="3" fillId="0" borderId="1" xfId="1" applyFont="1" applyFill="1" applyBorder="1" applyAlignment="1">
      <alignment horizontal="right"/>
    </xf>
    <xf numFmtId="0" fontId="3" fillId="2" borderId="2" xfId="3" applyFont="1" applyFill="1" applyBorder="1" applyAlignment="1">
      <alignment horizontal="center"/>
    </xf>
    <xf numFmtId="0" fontId="3" fillId="0" borderId="1" xfId="3" applyFont="1" applyFill="1" applyBorder="1" applyAlignment="1">
      <alignment horizontal="right" wrapText="1"/>
    </xf>
    <xf numFmtId="0" fontId="3" fillId="0" borderId="1" xfId="4" applyFont="1" applyFill="1" applyBorder="1" applyAlignment="1"/>
    <xf numFmtId="0" fontId="0" fillId="0" borderId="0" xfId="0" applyFill="1" applyBorder="1" applyAlignment="1" applyProtection="1"/>
    <xf numFmtId="0" fontId="3" fillId="0" borderId="1" xfId="3" applyFont="1" applyFill="1" applyBorder="1" applyAlignment="1">
      <alignment horizontal="left" wrapText="1"/>
    </xf>
    <xf numFmtId="166" fontId="3" fillId="0" borderId="1" xfId="1" applyNumberFormat="1" applyFont="1" applyFill="1" applyBorder="1" applyAlignment="1">
      <alignment horizontal="right"/>
    </xf>
    <xf numFmtId="0" fontId="5" fillId="0" borderId="0" xfId="0" applyFont="1" applyProtection="1">
      <protection hidden="1"/>
    </xf>
    <xf numFmtId="0" fontId="5" fillId="0" borderId="0" xfId="0" applyFont="1" applyFill="1" applyProtection="1">
      <protection hidden="1"/>
    </xf>
    <xf numFmtId="0" fontId="4" fillId="0" borderId="3" xfId="0" applyFont="1" applyBorder="1" applyProtection="1">
      <protection hidden="1"/>
    </xf>
    <xf numFmtId="0" fontId="3" fillId="0" borderId="1" xfId="3" applyFont="1" applyFill="1" applyBorder="1" applyAlignment="1">
      <alignment horizontal="left"/>
    </xf>
    <xf numFmtId="0" fontId="0" fillId="0" borderId="0" xfId="0" applyAlignment="1">
      <protection locked="0"/>
    </xf>
    <xf numFmtId="166" fontId="0" fillId="0" borderId="0" xfId="1" applyNumberFormat="1" applyFont="1" applyFill="1" applyAlignment="1" applyProtection="1"/>
    <xf numFmtId="43" fontId="0" fillId="0" borderId="0" xfId="1" applyNumberFormat="1" applyFont="1" applyFill="1" applyAlignment="1" applyProtection="1"/>
    <xf numFmtId="0" fontId="0" fillId="0" borderId="0" xfId="0" applyProtection="1">
      <protection hidden="1"/>
    </xf>
    <xf numFmtId="0" fontId="0" fillId="0" borderId="0" xfId="0">
      <protection locked="0"/>
    </xf>
    <xf numFmtId="0" fontId="7" fillId="0" borderId="0" xfId="0" applyFont="1" applyAlignment="1" applyProtection="1">
      <alignment wrapText="1"/>
      <protection hidden="1"/>
    </xf>
    <xf numFmtId="0" fontId="0" fillId="0" borderId="6" xfId="0" applyBorder="1" applyProtection="1">
      <protection hidden="1"/>
    </xf>
    <xf numFmtId="0" fontId="0" fillId="0" borderId="7" xfId="0" applyBorder="1" applyProtection="1">
      <protection hidden="1"/>
    </xf>
    <xf numFmtId="0" fontId="0" fillId="0" borderId="0" xfId="0" applyBorder="1" applyAlignment="1" applyProtection="1">
      <protection hidden="1"/>
    </xf>
    <xf numFmtId="0" fontId="0" fillId="0" borderId="0" xfId="0" applyAlignment="1" applyProtection="1">
      <alignment horizontal="center"/>
      <protection hidden="1"/>
    </xf>
    <xf numFmtId="0" fontId="5" fillId="0" borderId="0" xfId="0" applyFont="1" applyFill="1" applyAlignment="1" applyProtection="1">
      <alignment vertical="center"/>
      <protection hidden="1"/>
    </xf>
    <xf numFmtId="0" fontId="0" fillId="0" borderId="0" xfId="0" applyAlignment="1" applyProtection="1">
      <alignment vertical="center"/>
      <protection hidden="1"/>
    </xf>
    <xf numFmtId="0" fontId="8" fillId="0" borderId="0" xfId="0" applyFont="1" applyBorder="1" applyAlignment="1" applyProtection="1">
      <alignment horizontal="right" vertical="center" indent="6"/>
      <protection hidden="1"/>
    </xf>
    <xf numFmtId="0" fontId="8" fillId="0" borderId="0" xfId="0" applyFont="1" applyBorder="1" applyAlignment="1" applyProtection="1">
      <alignment horizontal="right" indent="6"/>
      <protection hidden="1"/>
    </xf>
    <xf numFmtId="0" fontId="0" fillId="0" borderId="0" xfId="0" applyAlignment="1" applyProtection="1">
      <alignment horizontal="center" vertical="center" wrapText="1"/>
      <protection hidden="1"/>
    </xf>
    <xf numFmtId="0" fontId="5" fillId="4" borderId="12" xfId="0" applyFont="1" applyFill="1" applyBorder="1" applyAlignment="1" applyProtection="1">
      <alignment vertical="center" wrapText="1"/>
      <protection hidden="1"/>
    </xf>
    <xf numFmtId="0" fontId="5" fillId="4" borderId="12" xfId="0" applyFont="1" applyFill="1" applyBorder="1" applyAlignment="1" applyProtection="1">
      <alignment vertical="center"/>
      <protection hidden="1"/>
    </xf>
    <xf numFmtId="0" fontId="5" fillId="4" borderId="12" xfId="0" applyFont="1" applyFill="1" applyBorder="1" applyAlignment="1" applyProtection="1">
      <alignment horizontal="center" vertical="center" wrapText="1"/>
      <protection hidden="1"/>
    </xf>
    <xf numFmtId="0" fontId="0" fillId="3" borderId="0" xfId="0" applyFill="1" applyBorder="1" applyAlignment="1" applyProtection="1">
      <alignment vertical="center"/>
      <protection locked="0" hidden="1"/>
    </xf>
    <xf numFmtId="0" fontId="0" fillId="3" borderId="10" xfId="0" applyFill="1" applyBorder="1" applyAlignment="1" applyProtection="1">
      <alignment vertical="center"/>
      <protection locked="0" hidden="1"/>
    </xf>
    <xf numFmtId="0" fontId="5" fillId="4" borderId="12" xfId="0" applyFont="1" applyFill="1" applyBorder="1" applyAlignment="1" applyProtection="1">
      <alignment horizontal="center" vertical="center"/>
      <protection hidden="1"/>
    </xf>
    <xf numFmtId="0" fontId="7" fillId="0" borderId="0" xfId="0" applyFont="1" applyAlignment="1" applyProtection="1">
      <alignment horizontal="right" vertical="center" wrapText="1"/>
      <protection hidden="1"/>
    </xf>
    <xf numFmtId="0" fontId="9" fillId="4" borderId="7" xfId="0" applyFont="1" applyFill="1" applyBorder="1" applyAlignment="1" applyProtection="1">
      <alignment vertical="center"/>
      <protection hidden="1"/>
    </xf>
    <xf numFmtId="0" fontId="11" fillId="0" borderId="0" xfId="0" applyFont="1" applyAlignment="1" applyProtection="1">
      <alignment horizontal="left" indent="3"/>
      <protection hidden="1"/>
    </xf>
    <xf numFmtId="0" fontId="12" fillId="0" borderId="0" xfId="0" applyFont="1" applyAlignment="1" applyProtection="1">
      <alignment horizontal="left"/>
      <protection hidden="1"/>
    </xf>
    <xf numFmtId="0" fontId="11" fillId="0" borderId="0" xfId="0" applyFont="1" applyAlignment="1" applyProtection="1">
      <alignment horizontal="left" vertical="center" indent="3"/>
      <protection hidden="1"/>
    </xf>
    <xf numFmtId="0" fontId="8" fillId="0" borderId="8" xfId="0" applyFont="1" applyFill="1" applyBorder="1" applyAlignment="1" applyProtection="1">
      <alignment horizontal="right" indent="6"/>
      <protection hidden="1"/>
    </xf>
    <xf numFmtId="0" fontId="7" fillId="0" borderId="0" xfId="0" applyFont="1" applyBorder="1" applyAlignment="1" applyProtection="1">
      <alignment horizontal="center" vertical="center" wrapText="1"/>
      <protection hidden="1"/>
    </xf>
    <xf numFmtId="0" fontId="7" fillId="0" borderId="0" xfId="0" applyFont="1" applyBorder="1" applyAlignment="1" applyProtection="1">
      <alignment vertical="center" wrapText="1"/>
      <protection hidden="1"/>
    </xf>
    <xf numFmtId="0" fontId="0" fillId="3" borderId="11" xfId="0" applyFill="1" applyBorder="1" applyAlignment="1" applyProtection="1">
      <alignment vertical="center"/>
      <protection locked="0" hidden="1"/>
    </xf>
    <xf numFmtId="0" fontId="0" fillId="0" borderId="0" xfId="0" applyBorder="1" applyAlignment="1" applyProtection="1">
      <alignment vertical="center"/>
      <protection hidden="1"/>
    </xf>
    <xf numFmtId="0" fontId="0" fillId="3" borderId="0" xfId="0" applyFill="1" applyBorder="1" applyAlignment="1" applyProtection="1">
      <alignment horizontal="center" vertical="center"/>
      <protection locked="0" hidden="1"/>
    </xf>
    <xf numFmtId="0" fontId="0" fillId="0" borderId="0" xfId="0" applyBorder="1" applyAlignment="1" applyProtection="1">
      <alignment horizontal="center" vertical="center"/>
      <protection hidden="1"/>
    </xf>
    <xf numFmtId="0" fontId="6" fillId="0" borderId="0" xfId="0" applyFont="1" applyBorder="1" applyAlignment="1" applyProtection="1">
      <alignment vertical="center"/>
      <protection hidden="1"/>
    </xf>
    <xf numFmtId="164" fontId="0" fillId="0" borderId="0" xfId="2" applyNumberFormat="1" applyFont="1" applyAlignment="1" applyProtection="1">
      <alignment horizontal="center"/>
      <protection hidden="1"/>
    </xf>
    <xf numFmtId="44" fontId="0" fillId="0" borderId="6" xfId="2" applyFont="1" applyBorder="1" applyAlignment="1" applyProtection="1">
      <alignment horizontal="center"/>
      <protection hidden="1"/>
    </xf>
    <xf numFmtId="44" fontId="0" fillId="0" borderId="0" xfId="2" applyFont="1" applyBorder="1" applyAlignment="1" applyProtection="1">
      <alignment horizontal="center"/>
      <protection hidden="1"/>
    </xf>
    <xf numFmtId="165" fontId="4" fillId="0" borderId="3" xfId="0" applyNumberFormat="1" applyFont="1" applyBorder="1" applyAlignment="1" applyProtection="1">
      <alignment horizontal="center"/>
      <protection hidden="1"/>
    </xf>
    <xf numFmtId="0" fontId="0" fillId="0" borderId="6" xfId="0" applyBorder="1" applyAlignment="1" applyProtection="1">
      <alignment horizontal="right"/>
      <protection hidden="1"/>
    </xf>
    <xf numFmtId="167" fontId="0" fillId="0" borderId="0" xfId="0" applyNumberFormat="1" applyBorder="1" applyAlignment="1" applyProtection="1">
      <alignment horizontal="right"/>
      <protection hidden="1"/>
    </xf>
    <xf numFmtId="164" fontId="0" fillId="0" borderId="0" xfId="2" applyNumberFormat="1" applyFont="1" applyBorder="1" applyAlignment="1" applyProtection="1">
      <alignment horizontal="right"/>
      <protection hidden="1"/>
    </xf>
    <xf numFmtId="3" fontId="0" fillId="0" borderId="0" xfId="0" applyNumberFormat="1" applyBorder="1" applyAlignment="1" applyProtection="1">
      <alignment horizontal="right"/>
      <protection hidden="1"/>
    </xf>
    <xf numFmtId="167" fontId="0" fillId="0" borderId="7" xfId="0" applyNumberFormat="1" applyBorder="1" applyAlignment="1" applyProtection="1">
      <alignment horizontal="right"/>
      <protection hidden="1"/>
    </xf>
    <xf numFmtId="0" fontId="13" fillId="0" borderId="0" xfId="0" applyFont="1" applyAlignment="1" applyProtection="1">
      <alignment horizontal="left" indent="1"/>
      <protection hidden="1"/>
    </xf>
    <xf numFmtId="0" fontId="0" fillId="0" borderId="0" xfId="0" applyAlignment="1" applyProtection="1">
      <protection hidden="1"/>
    </xf>
    <xf numFmtId="0" fontId="5" fillId="4" borderId="14" xfId="0" applyFont="1" applyFill="1" applyBorder="1" applyAlignment="1" applyProtection="1">
      <alignment vertical="center"/>
      <protection hidden="1"/>
    </xf>
    <xf numFmtId="0" fontId="0" fillId="5" borderId="9" xfId="0" applyFont="1" applyFill="1" applyBorder="1" applyAlignment="1" applyProtection="1">
      <alignment horizontal="center" vertical="center"/>
      <protection locked="0" hidden="1"/>
    </xf>
    <xf numFmtId="0" fontId="0" fillId="5" borderId="13" xfId="0" applyFont="1" applyFill="1" applyBorder="1" applyAlignment="1" applyProtection="1">
      <alignment horizontal="center" vertical="center"/>
      <protection locked="0" hidden="1"/>
    </xf>
    <xf numFmtId="3" fontId="0" fillId="3" borderId="0" xfId="0" applyNumberFormat="1" applyFill="1" applyBorder="1" applyAlignment="1" applyProtection="1">
      <alignment horizontal="center" vertical="center"/>
      <protection locked="0" hidden="1"/>
    </xf>
    <xf numFmtId="3" fontId="0" fillId="3" borderId="10" xfId="0" applyNumberFormat="1" applyFill="1" applyBorder="1" applyAlignment="1" applyProtection="1">
      <alignment horizontal="center" vertical="center"/>
      <protection locked="0" hidden="1"/>
    </xf>
    <xf numFmtId="3" fontId="0" fillId="3" borderId="11" xfId="0" applyNumberFormat="1" applyFill="1" applyBorder="1" applyAlignment="1" applyProtection="1">
      <alignment horizontal="center" vertical="center"/>
      <protection locked="0" hidden="1"/>
    </xf>
    <xf numFmtId="0" fontId="0" fillId="0" borderId="0" xfId="0" applyFill="1">
      <protection locked="0"/>
    </xf>
    <xf numFmtId="0" fontId="0" fillId="0" borderId="4" xfId="0" applyFill="1" applyBorder="1" applyAlignment="1">
      <alignment vertical="center"/>
      <protection locked="0"/>
    </xf>
    <xf numFmtId="0" fontId="0" fillId="0" borderId="5" xfId="0" applyFill="1" applyBorder="1" applyAlignment="1">
      <alignment vertical="center"/>
      <protection locked="0"/>
    </xf>
    <xf numFmtId="0" fontId="0" fillId="0" borderId="0" xfId="0" applyFill="1" applyAlignment="1" applyProtection="1"/>
    <xf numFmtId="0" fontId="3" fillId="0" borderId="2" xfId="3" applyFont="1" applyFill="1" applyBorder="1" applyAlignment="1">
      <alignment horizontal="center"/>
    </xf>
    <xf numFmtId="0" fontId="0" fillId="0" borderId="0" xfId="0" applyFill="1" applyProtection="1"/>
    <xf numFmtId="168" fontId="0" fillId="0" borderId="0" xfId="0" applyNumberFormat="1" applyFill="1">
      <protection locked="0"/>
    </xf>
    <xf numFmtId="0" fontId="0" fillId="0" borderId="0" xfId="0" applyFill="1" applyAlignment="1">
      <protection locked="0"/>
    </xf>
    <xf numFmtId="0" fontId="14" fillId="4" borderId="7" xfId="0" applyFont="1" applyFill="1" applyBorder="1" applyAlignment="1" applyProtection="1">
      <alignment horizontal="center" vertical="center"/>
      <protection hidden="1"/>
    </xf>
    <xf numFmtId="0" fontId="7" fillId="0" borderId="15"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8" xfId="0" applyFont="1" applyBorder="1" applyAlignment="1" applyProtection="1">
      <alignment horizontal="left" vertical="center" wrapText="1"/>
      <protection hidden="1"/>
    </xf>
  </cellXfs>
  <cellStyles count="5">
    <cellStyle name="Comma" xfId="1" builtinId="3"/>
    <cellStyle name="Currency" xfId="2" builtinId="4"/>
    <cellStyle name="Normal" xfId="0" builtinId="0" customBuiltin="1"/>
    <cellStyle name="Normal_Sheet2" xfId="3" xr:uid="{00000000-0005-0000-0000-000003000000}"/>
    <cellStyle name="Normal_Sheet2_1" xfId="4" xr:uid="{00000000-0005-0000-0000-000004000000}"/>
  </cellStyles>
  <dxfs count="26">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patternType="none">
          <bgColor auto="1"/>
        </patternFill>
      </fill>
    </dxf>
    <dxf>
      <border>
        <top/>
        <bottom/>
        <vertical/>
        <horizontal/>
      </border>
    </dxf>
    <dxf>
      <font>
        <color theme="0"/>
      </font>
    </dxf>
    <dxf>
      <font>
        <color theme="0"/>
      </font>
      <border>
        <bottom/>
        <vertical/>
        <horizontal/>
      </border>
    </dxf>
    <dxf>
      <border>
        <top/>
        <bottom/>
        <vertical/>
        <horizontal/>
      </border>
    </dxf>
    <dxf>
      <fill>
        <patternFill patternType="none">
          <bgColor auto="1"/>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vertical/>
        <horizontal/>
      </border>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41"/>
  <sheetViews>
    <sheetView showGridLines="0" showRowColHeaders="0" tabSelected="1" topLeftCell="B1" zoomScale="62" zoomScaleNormal="62" workbookViewId="0">
      <selection activeCell="D4" sqref="D4"/>
    </sheetView>
  </sheetViews>
  <sheetFormatPr defaultColWidth="8.7109375" defaultRowHeight="15" x14ac:dyDescent="0.25"/>
  <cols>
    <col min="1" max="1" width="3.28515625" style="18" hidden="1" customWidth="1"/>
    <col min="2" max="2" width="2.7109375" style="11" customWidth="1"/>
    <col min="3" max="3" width="31.7109375" style="18" customWidth="1"/>
    <col min="4" max="4" width="24" style="59" customWidth="1"/>
    <col min="5" max="5" width="32.7109375" style="18" customWidth="1"/>
    <col min="6" max="6" width="2.7109375" style="18" customWidth="1"/>
    <col min="7" max="7" width="8.7109375" style="18"/>
    <col min="8" max="8" width="27.7109375" style="18" bestFit="1" customWidth="1"/>
    <col min="9" max="9" width="9.85546875" style="24" customWidth="1"/>
    <col min="10" max="12" width="8.140625" style="24" customWidth="1"/>
    <col min="13" max="14" width="2.7109375" style="11" customWidth="1"/>
    <col min="15" max="15" width="7.140625" style="18" hidden="1" customWidth="1"/>
    <col min="16" max="16" width="15.7109375" style="18" hidden="1" customWidth="1"/>
    <col min="17" max="17" width="15.28515625" style="18" hidden="1" customWidth="1"/>
    <col min="18" max="18" width="31.7109375" style="18" customWidth="1"/>
    <col min="19" max="19" width="25.7109375" style="24" customWidth="1"/>
    <col min="20" max="16384" width="8.7109375" style="18"/>
  </cols>
  <sheetData>
    <row r="1" spans="2:22" ht="31.5" x14ac:dyDescent="0.5">
      <c r="B1" s="58" t="s">
        <v>221</v>
      </c>
      <c r="M1" s="58"/>
      <c r="N1" s="58"/>
    </row>
    <row r="2" spans="2:22" ht="14.65" customHeight="1" x14ac:dyDescent="0.25">
      <c r="C2" s="11" t="str">
        <f>IF(OR(B4="Metered",B5="Metered"),"Metered","None")</f>
        <v>None</v>
      </c>
      <c r="I2" s="29"/>
    </row>
    <row r="3" spans="2:22" ht="45.4" customHeight="1" thickBot="1" x14ac:dyDescent="0.3">
      <c r="B3" s="12"/>
      <c r="C3" s="37" t="s">
        <v>211</v>
      </c>
      <c r="D3" s="60"/>
      <c r="G3" s="30" t="s">
        <v>208</v>
      </c>
      <c r="H3" s="31" t="s">
        <v>46</v>
      </c>
      <c r="I3" s="32" t="s">
        <v>73</v>
      </c>
      <c r="J3" s="35" t="s">
        <v>29</v>
      </c>
      <c r="K3" s="35" t="s">
        <v>30</v>
      </c>
      <c r="L3" s="35" t="s">
        <v>31</v>
      </c>
      <c r="M3" s="12"/>
      <c r="N3" s="12"/>
      <c r="O3" s="18" t="s">
        <v>167</v>
      </c>
      <c r="P3" s="18" t="s">
        <v>47</v>
      </c>
      <c r="Q3" s="18" t="s">
        <v>48</v>
      </c>
      <c r="R3" s="74" t="s">
        <v>220</v>
      </c>
      <c r="S3" s="74"/>
      <c r="T3" s="1"/>
      <c r="U3" s="1"/>
      <c r="V3" s="1"/>
    </row>
    <row r="4" spans="2:22" s="26" customFormat="1" ht="16.899999999999999" customHeight="1" x14ac:dyDescent="0.25">
      <c r="B4" s="25" t="str">
        <f>IFERROR(INDEX(WSSCO,MATCH(D4,Water!$B$2:$B$47,0),2),"None")</f>
        <v>None</v>
      </c>
      <c r="C4" s="27" t="s">
        <v>2</v>
      </c>
      <c r="D4" s="61" t="s">
        <v>206</v>
      </c>
      <c r="E4" s="40" t="str">
        <f>IF(B4="Unmeasured","Unmeasured Tariff Chosen for Water",IF(B4="Assessed","Assessed Tariff Chosen for Water","Metered Tariff Chosen for Water"))</f>
        <v>Metered Tariff Chosen for Water</v>
      </c>
      <c r="G4" s="26" t="s">
        <v>49</v>
      </c>
      <c r="H4" s="33" t="s">
        <v>213</v>
      </c>
      <c r="I4" s="63">
        <v>50</v>
      </c>
      <c r="J4" s="63">
        <v>100</v>
      </c>
      <c r="K4" s="63">
        <v>15</v>
      </c>
      <c r="L4" s="63">
        <v>20</v>
      </c>
      <c r="M4" s="25"/>
      <c r="N4" s="25"/>
      <c r="P4" s="26">
        <f>IF(H4="PRIVATE TE",I4*O4/100,I4*J4/100)</f>
        <v>50</v>
      </c>
      <c r="Q4" s="26">
        <f>IFERROR(INDEX(METER,MATCH($L4,Waste!$H$2:$H$17,1),IF(INDEX(SSSCO,MATCH($D$5,Waste!$B$2:$B$80,0),5)="Full Value",3,IF(INDEX(SSSCO,MATCH($D$5,Waste!$B$2:$B$80,0),5)="Abated Value",4,-1))),0)</f>
        <v>0</v>
      </c>
      <c r="R4" s="21" t="str">
        <f>IF(B4="Metered","Metered Water Volume",IF(B4="Assessed","Assessed Water Volume",IF(B4="Unmeasured","Water Rateable Value","None")))</f>
        <v>None</v>
      </c>
      <c r="S4" s="53">
        <f ca="1">IF(ISERROR(IF(B4="Metered",IF(D6=0,0,SUMIF(H4:INDIRECT("h"&amp;D6+3),"POTABLE/NON-POTABLE",I4:INDIRECT("i"&amp;D6+3))),IF(B4="None",0,D8))),"[Please Select No. of Meters]",IF(B4="Metered",IF(D6=0,0,SUMIF(H4:INDIRECT("h"&amp;D6+3),"POTABLE/NON-POTABLE",I4:INDIRECT("i"&amp;D6+3))),IF(B4="None",0,D8)))</f>
        <v>0</v>
      </c>
      <c r="T4" s="45"/>
      <c r="U4" s="45"/>
      <c r="V4" s="45"/>
    </row>
    <row r="5" spans="2:22" ht="16.899999999999999" customHeight="1" x14ac:dyDescent="0.25">
      <c r="B5" s="12" t="str">
        <f>IFERROR(INDEX(SSSCO,MATCH(D5,Waste!$B$2:$B$80,0),2),"None")</f>
        <v>None</v>
      </c>
      <c r="C5" s="28" t="s">
        <v>3</v>
      </c>
      <c r="D5" s="61" t="s">
        <v>206</v>
      </c>
      <c r="E5" s="40" t="str">
        <f>IF(B5="Unmeasured","Unmeasured Tariff Chosen for Sewerage",IF(B5="Assessed","Assessed Tariff Chosen for Sewerage","Metered Tariff Chosen for Sewerage"))</f>
        <v>Metered Tariff Chosen for Sewerage</v>
      </c>
      <c r="G5" s="26" t="s">
        <v>50</v>
      </c>
      <c r="H5" s="34" t="s">
        <v>213</v>
      </c>
      <c r="I5" s="64">
        <v>10</v>
      </c>
      <c r="J5" s="64">
        <v>100</v>
      </c>
      <c r="K5" s="64">
        <v>15</v>
      </c>
      <c r="L5" s="64">
        <v>10</v>
      </c>
      <c r="M5" s="12"/>
      <c r="N5" s="12"/>
      <c r="P5" s="26">
        <f t="shared" ref="P5:P27" si="0">IF(H5="PRIVATE TE",I5*O5/100,I5*J5/100)</f>
        <v>10</v>
      </c>
      <c r="Q5" s="26">
        <f>IFERROR(INDEX(METER,MATCH($L5,Waste!$H$2:$H$17,1),IF(INDEX(SSSCO,MATCH($D$5,Waste!$B$2:$B$80,0),5)="Full Value",3,IF(INDEX(SSSCO,MATCH($D$5,Waste!$B$2:$B$80,0),5)="Abated Value",4,-1))),0)</f>
        <v>0</v>
      </c>
      <c r="R5" s="1" t="str">
        <f>IF(B4="Metered","Metered Volumetric Rate (£/m3)",IF(B4="Assessed","Assessed Volumetric Rate (£/m3)",IF(B4="Unmeasured","Rateable Value Poundage","None")))</f>
        <v>None</v>
      </c>
      <c r="S5" s="54">
        <f>IFERROR(INDEX(WSSCO,MATCH($D$4,Water!$B$2:$B$47,0),3),0)</f>
        <v>0</v>
      </c>
      <c r="T5" s="1"/>
      <c r="U5" s="1"/>
      <c r="V5" s="1"/>
    </row>
    <row r="6" spans="2:22" ht="16.899999999999999" customHeight="1" thickBot="1" x14ac:dyDescent="0.3">
      <c r="B6" s="11" t="str">
        <f>IF(C6="None","None",IF(AND(D6&gt;=1,D6&lt;=25),D6,0))</f>
        <v>None</v>
      </c>
      <c r="C6" s="41" t="str">
        <f>IF(OR(B4="Metered",B5="Metered"),"No. of Meters","None")</f>
        <v>None</v>
      </c>
      <c r="D6" s="62">
        <v>1</v>
      </c>
      <c r="F6" s="20"/>
      <c r="G6" s="26" t="s">
        <v>51</v>
      </c>
      <c r="H6" s="34" t="s">
        <v>212</v>
      </c>
      <c r="I6" s="64">
        <v>20</v>
      </c>
      <c r="J6" s="64">
        <v>100</v>
      </c>
      <c r="K6" s="64">
        <v>15</v>
      </c>
      <c r="L6" s="64">
        <v>30</v>
      </c>
      <c r="P6" s="26">
        <f t="shared" si="0"/>
        <v>20</v>
      </c>
      <c r="Q6" s="26">
        <f>IFERROR(INDEX(METER,MATCH($L6,Waste!$H$2:$H$17,1),IF(INDEX(SSSCO,MATCH($D$5,Waste!$B$2:$B$80,0),5)="Full Value",3,IF(INDEX(SSSCO,MATCH($D$5,Waste!$B$2:$B$80,0),5)="Abated Value",4,-1))),0)</f>
        <v>0</v>
      </c>
      <c r="R6" s="1"/>
      <c r="S6" s="55"/>
      <c r="T6" s="1"/>
      <c r="U6" s="1"/>
      <c r="V6" s="1"/>
    </row>
    <row r="7" spans="2:22" ht="16.899999999999999" customHeight="1" x14ac:dyDescent="0.25">
      <c r="D7" s="24"/>
      <c r="E7" s="20"/>
      <c r="F7" s="20"/>
      <c r="G7" s="26" t="s">
        <v>52</v>
      </c>
      <c r="H7" s="34" t="s">
        <v>212</v>
      </c>
      <c r="I7" s="64"/>
      <c r="J7" s="64"/>
      <c r="K7" s="64"/>
      <c r="L7" s="64"/>
      <c r="P7" s="26">
        <f t="shared" si="0"/>
        <v>0</v>
      </c>
      <c r="Q7" s="26">
        <f>IFERROR(INDEX(METER,MATCH($L7,Waste!$H$2:$H$17,1),IF(INDEX(SSSCO,MATCH($D$5,Waste!$B$2:$B$80,0),5)="Full Value",3,IF(INDEX(SSSCO,MATCH($D$5,Waste!$B$2:$B$80,0),5)="Abated Value",4,-1))),0)</f>
        <v>0</v>
      </c>
      <c r="R7" s="1" t="str">
        <f>IF(B5="Metered","Metered Sewerage Volume",IF(B5="Assessed","Assessed Sewerage Volume",IF(B5="Unmeasured","Sewerage Rateable Value","None")))</f>
        <v>None</v>
      </c>
      <c r="S7" s="56">
        <f ca="1">IF(ISERROR(IF(B5="metered",IF(D6=0,0,SUM(P4:INDIRECT("P"&amp;D6+3))),IF(B5="None",0,D9))),"[Please Select No. of Meters]",IF(B5="metered",IF(D6=0,0,SUM(P4:INDIRECT("P"&amp;D6+3))),IF(B5="None",0,D9)))</f>
        <v>0</v>
      </c>
    </row>
    <row r="8" spans="2:22" ht="16.899999999999999" customHeight="1" x14ac:dyDescent="0.25">
      <c r="C8" s="45" t="str">
        <f>IF(B4="Assessed","Water Assessed Volume",IF(B4="Unmeasured","Water RV","None"))</f>
        <v>None</v>
      </c>
      <c r="D8" s="46">
        <v>500</v>
      </c>
      <c r="E8" s="38" t="s">
        <v>216</v>
      </c>
      <c r="F8" s="20"/>
      <c r="G8" s="26" t="s">
        <v>53</v>
      </c>
      <c r="H8" s="34" t="s">
        <v>212</v>
      </c>
      <c r="I8" s="64"/>
      <c r="J8" s="64"/>
      <c r="K8" s="64"/>
      <c r="L8" s="64"/>
      <c r="P8" s="26">
        <f t="shared" si="0"/>
        <v>0</v>
      </c>
      <c r="Q8" s="26">
        <f>IFERROR(INDEX(METER,MATCH($L8,Waste!$H$2:$H$17,1),IF(INDEX(SSSCO,MATCH($D$5,Waste!$B$2:$B$80,0),5)="Full Value",3,IF(INDEX(SSSCO,MATCH($D$5,Waste!$B$2:$B$80,0),5)="Abated Value",4,-1))),0)</f>
        <v>0</v>
      </c>
      <c r="R8" s="22" t="str">
        <f>IF(B5="Metered","Metered Volumetric Rate (£/m3)",IF(B5="Assessed","Assessed Volumetric Rate (£/m3)",IF(B5="Unmeasured","Rateable Value Poundage","None")))</f>
        <v>None</v>
      </c>
      <c r="S8" s="57">
        <f>IFERROR(INDEX(SSSCO,MATCH($D$5,Waste!$B$2:$B$80,0),3),0)</f>
        <v>0</v>
      </c>
    </row>
    <row r="9" spans="2:22" ht="16.899999999999999" customHeight="1" x14ac:dyDescent="0.25">
      <c r="C9" s="45" t="str">
        <f>IF(B5="Assessed","Sewerage Assessed Volume",IF(B5="Unmeasured","Sewerage RV","None"))</f>
        <v>None</v>
      </c>
      <c r="D9" s="46">
        <v>212</v>
      </c>
      <c r="E9" s="38" t="s">
        <v>216</v>
      </c>
      <c r="F9" s="20"/>
      <c r="G9" s="26" t="s">
        <v>54</v>
      </c>
      <c r="H9" s="34" t="s">
        <v>212</v>
      </c>
      <c r="I9" s="64"/>
      <c r="J9" s="64"/>
      <c r="K9" s="64"/>
      <c r="L9" s="64"/>
      <c r="P9" s="26">
        <f t="shared" si="0"/>
        <v>0</v>
      </c>
      <c r="Q9" s="26">
        <f>IFERROR(INDEX(METER,MATCH($L9,Waste!$H$2:$H$17,1),IF(INDEX(SSSCO,MATCH($D$5,Waste!$B$2:$B$80,0),5)="Full Value",3,IF(INDEX(SSSCO,MATCH($D$5,Waste!$B$2:$B$80,0),5)="Abated Value",4,-1))),0)</f>
        <v>0</v>
      </c>
      <c r="S9" s="49"/>
    </row>
    <row r="10" spans="2:22" ht="16.899999999999999" customHeight="1" x14ac:dyDescent="0.25">
      <c r="C10" s="45"/>
      <c r="D10" s="47"/>
      <c r="E10" s="39"/>
      <c r="F10" s="20"/>
      <c r="G10" s="26" t="s">
        <v>55</v>
      </c>
      <c r="H10" s="34" t="s">
        <v>212</v>
      </c>
      <c r="I10" s="64"/>
      <c r="J10" s="64"/>
      <c r="K10" s="64"/>
      <c r="L10" s="64"/>
      <c r="P10" s="26">
        <f t="shared" si="0"/>
        <v>0</v>
      </c>
      <c r="Q10" s="26">
        <f>IFERROR(INDEX(METER,MATCH($L10,Waste!$H$2:$H$17,1),IF(INDEX(SSSCO,MATCH($D$5,Waste!$B$2:$B$80,0),5)="Full Value",3,IF(INDEX(SSSCO,MATCH($D$5,Waste!$B$2:$B$80,0),5)="Abated Value",4,-1))),0)</f>
        <v>0</v>
      </c>
      <c r="R10" s="21" t="str">
        <f>IF(B4="Unmeasured", "Water RV Charges",IF(OR(B4="Metered",B4="Assessed"),"Water Volumetric Charges","None"))</f>
        <v>None</v>
      </c>
      <c r="S10" s="50">
        <f ca="1">IF(ISERROR(S5*S4),0,S5*S4)</f>
        <v>0</v>
      </c>
    </row>
    <row r="11" spans="2:22" ht="16.899999999999999" customHeight="1" x14ac:dyDescent="0.25">
      <c r="C11" s="45" t="str">
        <f>IF(B4="Unmeasured","Water Pipe Size",IF(B4="Assessed","Assessed Water Meter Size","None"))</f>
        <v>None</v>
      </c>
      <c r="D11" s="46">
        <v>100</v>
      </c>
      <c r="E11" s="38" t="s">
        <v>216</v>
      </c>
      <c r="F11" s="20"/>
      <c r="G11" s="26" t="s">
        <v>56</v>
      </c>
      <c r="H11" s="34" t="s">
        <v>212</v>
      </c>
      <c r="I11" s="64"/>
      <c r="J11" s="64"/>
      <c r="K11" s="64"/>
      <c r="L11" s="64"/>
      <c r="P11" s="26">
        <f t="shared" si="0"/>
        <v>0</v>
      </c>
      <c r="Q11" s="26">
        <f>IFERROR(INDEX(METER,MATCH($L11,Waste!$H$2:$H$17,1),IF(INDEX(SSSCO,MATCH($D$5,Waste!$B$2:$B$80,0),5)="Full Value",3,IF(INDEX(SSSCO,MATCH($D$5,Waste!$B$2:$B$80,0),5)="Abated Value",4,-1))),0)</f>
        <v>0</v>
      </c>
      <c r="R11" s="1" t="str">
        <f>IF(B4="None","None","Water Fixed Charges")</f>
        <v>None</v>
      </c>
      <c r="S11" s="51">
        <f>IFERROR(IF(INDEX(WSSCO,MATCH($D$4,Water!$B$2:$B$52,0),5)="None", 0, INDEX(UWPipe, MATCH(D11,Water!$H$2:$H$12,1),MATCH(INDEX(WSSCO,MATCH($D$4,Water!$B$2:$B$52,0),5),Water!H2:M2,0))),0)</f>
        <v>0</v>
      </c>
    </row>
    <row r="12" spans="2:22" ht="16.899999999999999" customHeight="1" x14ac:dyDescent="0.25">
      <c r="C12" s="45" t="str">
        <f>IF(B5="Unmeasured","Sewerage Pipe Size",IF(B5="Assessed","Assessed Sewerage Meter Size","None"))</f>
        <v>None</v>
      </c>
      <c r="D12" s="46">
        <v>10</v>
      </c>
      <c r="E12" s="38" t="s">
        <v>216</v>
      </c>
      <c r="F12" s="20"/>
      <c r="G12" s="26" t="s">
        <v>57</v>
      </c>
      <c r="H12" s="34" t="s">
        <v>212</v>
      </c>
      <c r="I12" s="64"/>
      <c r="J12" s="64"/>
      <c r="K12" s="64"/>
      <c r="L12" s="64"/>
      <c r="P12" s="26">
        <f t="shared" si="0"/>
        <v>0</v>
      </c>
      <c r="Q12" s="26">
        <f>IFERROR(INDEX(METER,MATCH($L12,Waste!$H$2:$H$17,1),IF(INDEX(SSSCO,MATCH($D$5,Waste!$B$2:$B$80,0),5)="Full Value",3,IF(INDEX(SSSCO,MATCH($D$5,Waste!$B$2:$B$80,0),5)="Abated Value",4,-1))),0)</f>
        <v>0</v>
      </c>
      <c r="R12" s="1" t="str">
        <f>IF(B4="Metered","Water Supplementary Charges",IF(B4="Unmeasured","Water Miscellaneous Charges","None"))</f>
        <v>None</v>
      </c>
      <c r="S12" s="51">
        <f>IF(B4="Metered",IFERROR(INDEX(WSSCO,MATCH($D$4,Water!$B$2:$B$47,0),4),0),IF(B4="Unmeasured",SUM(B14:B18),0))</f>
        <v>0</v>
      </c>
    </row>
    <row r="13" spans="2:22" ht="16.899999999999999" customHeight="1" x14ac:dyDescent="0.25">
      <c r="C13" s="45"/>
      <c r="D13" s="47"/>
      <c r="E13" s="20"/>
      <c r="F13" s="20"/>
      <c r="G13" s="26" t="s">
        <v>58</v>
      </c>
      <c r="H13" s="34" t="s">
        <v>212</v>
      </c>
      <c r="I13" s="64"/>
      <c r="J13" s="64"/>
      <c r="K13" s="64"/>
      <c r="L13" s="64"/>
      <c r="P13" s="26">
        <f t="shared" si="0"/>
        <v>0</v>
      </c>
      <c r="Q13" s="26">
        <f>IFERROR(INDEX(METER,MATCH($L13,Waste!$H$2:$H$17,1),IF(INDEX(SSSCO,MATCH($D$5,Waste!$B$2:$B$80,0),5)="Full Value",3,IF(INDEX(SSSCO,MATCH($D$5,Waste!$B$2:$B$80,0),5)="Abated Value",4,-1))),0)</f>
        <v>0</v>
      </c>
      <c r="R13" s="1"/>
      <c r="S13" s="51"/>
    </row>
    <row r="14" spans="2:22" ht="16.899999999999999" customHeight="1" x14ac:dyDescent="0.25">
      <c r="B14" s="11">
        <f>D14*Water!I17</f>
        <v>58.05</v>
      </c>
      <c r="C14" s="45" t="str">
        <f>IF($B$4="Unmeasured","Unmeasured Water Item A Count","None")</f>
        <v>None</v>
      </c>
      <c r="D14" s="46">
        <v>5</v>
      </c>
      <c r="E14" s="38" t="s">
        <v>216</v>
      </c>
      <c r="F14" s="20"/>
      <c r="G14" s="26" t="s">
        <v>59</v>
      </c>
      <c r="H14" s="34" t="s">
        <v>212</v>
      </c>
      <c r="I14" s="64"/>
      <c r="J14" s="64"/>
      <c r="K14" s="64"/>
      <c r="L14" s="64"/>
      <c r="P14" s="26">
        <f t="shared" si="0"/>
        <v>0</v>
      </c>
      <c r="Q14" s="26">
        <f>IFERROR(INDEX(METER,MATCH($L14,Waste!$H$2:$H$17,1),IF(INDEX(SSSCO,MATCH($D$5,Waste!$B$2:$B$80,0),5)="Full Value",3,IF(INDEX(SSSCO,MATCH($D$5,Waste!$B$2:$B$80,0),5)="Abated Value",4,-1))),0)</f>
        <v>0</v>
      </c>
      <c r="R14" s="1" t="str">
        <f>IF(B5="Unmeasured", "Waste RV Charges",IF(OR(B5="Metered",B5="Assessed"),"Waste Volumetric Charges","None"))</f>
        <v>None</v>
      </c>
      <c r="S14" s="51">
        <f ca="1">IF(ISERROR(S8*S7),0,S8*S7)</f>
        <v>0</v>
      </c>
    </row>
    <row r="15" spans="2:22" ht="16.899999999999999" customHeight="1" x14ac:dyDescent="0.25">
      <c r="B15" s="11">
        <f>D15*Water!I18</f>
        <v>147.15</v>
      </c>
      <c r="C15" s="45" t="str">
        <f>IF($B$4="Unmeasured","Unmeasured Water Item B Count","None")</f>
        <v>None</v>
      </c>
      <c r="D15" s="46">
        <v>5</v>
      </c>
      <c r="E15" s="38" t="s">
        <v>216</v>
      </c>
      <c r="F15" s="20"/>
      <c r="G15" s="26" t="s">
        <v>60</v>
      </c>
      <c r="H15" s="34" t="s">
        <v>212</v>
      </c>
      <c r="I15" s="64"/>
      <c r="J15" s="64"/>
      <c r="K15" s="64"/>
      <c r="L15" s="64"/>
      <c r="P15" s="26">
        <f t="shared" si="0"/>
        <v>0</v>
      </c>
      <c r="Q15" s="26">
        <f>IFERROR(INDEX(METER,MATCH($L15,Waste!$H$2:$H$17,1),IF(INDEX(SSSCO,MATCH($D$5,Waste!$B$2:$B$80,0),5)="Full Value",3,IF(INDEX(SSSCO,MATCH($D$5,Waste!$B$2:$B$80,0),5)="Abated Value",4,-1))),0)</f>
        <v>0</v>
      </c>
      <c r="R15" s="1" t="str">
        <f>IF(B5="None","None","Waste Fixed Charges")</f>
        <v>None</v>
      </c>
      <c r="S15" s="51">
        <f ca="1">IFERROR(IF(B5="Metered",IF(D6=0,0,SUM(Q4:INDIRECT("Q"&amp;D6+3))),IF(INDEX(SSSCO,MATCH($D$5,Waste!$B$2:$B$80,0),5)="None", 0, INDEX(METER, MATCH(D12,Waste!$H$2:$H$17,1),MATCH(INDEX(SSSCO,MATCH($D$5,Waste!$B$2:$B$80,0),5),Waste!H2:Y2,0)))),0)</f>
        <v>0</v>
      </c>
    </row>
    <row r="16" spans="2:22" ht="16.899999999999999" customHeight="1" x14ac:dyDescent="0.25">
      <c r="B16" s="11">
        <f>D16*Water!I19</f>
        <v>466.1</v>
      </c>
      <c r="C16" s="45" t="str">
        <f>IF($B$4="Unmeasured","Unmeasured Water Item C Count","None")</f>
        <v>None</v>
      </c>
      <c r="D16" s="46">
        <v>5</v>
      </c>
      <c r="E16" s="38" t="s">
        <v>216</v>
      </c>
      <c r="F16" s="20"/>
      <c r="G16" s="26" t="s">
        <v>61</v>
      </c>
      <c r="H16" s="34" t="s">
        <v>212</v>
      </c>
      <c r="I16" s="64"/>
      <c r="J16" s="64"/>
      <c r="K16" s="64"/>
      <c r="L16" s="64"/>
      <c r="P16" s="26">
        <f t="shared" si="0"/>
        <v>0</v>
      </c>
      <c r="Q16" s="26">
        <f>IFERROR(INDEX(METER,MATCH($L16,Waste!$H$2:$H$17,1),IF(INDEX(SSSCO,MATCH($D$5,Waste!$B$2:$B$80,0),5)="Full Value",3,IF(INDEX(SSSCO,MATCH($D$5,Waste!$B$2:$B$80,0),5)="Abated Value",4,-1))),0)</f>
        <v>0</v>
      </c>
      <c r="R16" s="1" t="str">
        <f>IF(B5="Metered","Waste Supplementary Charges",IF(B5="Unmeasured","Waste Miscellaneous Charges","None"))</f>
        <v>None</v>
      </c>
      <c r="S16" s="51">
        <f>IF(B5="Metered",IFERROR(INDEX(SSSCO,MATCH($D$5,Waste!$B$2:$B$80,0),4),0),IF(B5="Unmeasured",IF(D5="NHHUSDOF",B20,B20),0))</f>
        <v>0</v>
      </c>
    </row>
    <row r="17" spans="2:19" ht="16.899999999999999" customHeight="1" x14ac:dyDescent="0.25">
      <c r="B17" s="11">
        <f>D17*Water!I20</f>
        <v>931.05000000000007</v>
      </c>
      <c r="C17" s="45" t="str">
        <f>IF($B$4="Unmeasured","Unmeasured Water Item D Count","None")</f>
        <v>None</v>
      </c>
      <c r="D17" s="46">
        <v>5</v>
      </c>
      <c r="E17" s="38" t="s">
        <v>216</v>
      </c>
      <c r="F17" s="20"/>
      <c r="G17" s="26" t="s">
        <v>62</v>
      </c>
      <c r="H17" s="34" t="s">
        <v>212</v>
      </c>
      <c r="I17" s="64"/>
      <c r="J17" s="64"/>
      <c r="K17" s="64"/>
      <c r="L17" s="64"/>
      <c r="P17" s="26">
        <f t="shared" si="0"/>
        <v>0</v>
      </c>
      <c r="Q17" s="26">
        <f>IFERROR(INDEX(METER,MATCH($L17,Waste!$H$2:$H$17,1),IF(INDEX(SSSCO,MATCH($D$5,Waste!$B$2:$B$80,0),5)="Full Value",3,IF(INDEX(SSSCO,MATCH($D$5,Waste!$B$2:$B$80,0),5)="Abated Value",4,-1))),0)</f>
        <v>0</v>
      </c>
      <c r="R17" s="1"/>
      <c r="S17" s="51"/>
    </row>
    <row r="18" spans="2:19" ht="16.899999999999999" customHeight="1" x14ac:dyDescent="0.25">
      <c r="B18" s="11">
        <f>D18*Water!I21</f>
        <v>1994.1499999999999</v>
      </c>
      <c r="C18" s="45" t="str">
        <f>IF($B$4="Unmeasured","Unmeasured Water Item E Count","None")</f>
        <v>None</v>
      </c>
      <c r="D18" s="46">
        <v>5</v>
      </c>
      <c r="E18" s="38" t="s">
        <v>216</v>
      </c>
      <c r="F18" s="20"/>
      <c r="G18" s="26" t="s">
        <v>63</v>
      </c>
      <c r="H18" s="34" t="s">
        <v>212</v>
      </c>
      <c r="I18" s="64"/>
      <c r="J18" s="64"/>
      <c r="K18" s="64"/>
      <c r="L18" s="64"/>
      <c r="P18" s="26">
        <f t="shared" si="0"/>
        <v>0</v>
      </c>
      <c r="Q18" s="26">
        <f>IFERROR(INDEX(METER,MATCH($L18,Waste!$H$2:$H$17,1),IF(INDEX(SSSCO,MATCH($D$5,Waste!$B$2:$B$80,0),5)="Full Value",3,IF(INDEX(SSSCO,MATCH($D$5,Waste!$B$2:$B$80,0),5)="Abated Value",4,-1))),0)</f>
        <v>0</v>
      </c>
      <c r="R18" s="1" t="str">
        <f>IF(B4="None","None","Water Charge")</f>
        <v>None</v>
      </c>
      <c r="S18" s="51">
        <f ca="1">SUM(S10:S12)</f>
        <v>0</v>
      </c>
    </row>
    <row r="19" spans="2:19" ht="16.899999999999999" customHeight="1" x14ac:dyDescent="0.25">
      <c r="C19" s="48"/>
      <c r="D19" s="48"/>
      <c r="E19" s="36"/>
      <c r="F19" s="20"/>
      <c r="G19" s="26" t="s">
        <v>64</v>
      </c>
      <c r="H19" s="34" t="s">
        <v>212</v>
      </c>
      <c r="I19" s="64"/>
      <c r="J19" s="64"/>
      <c r="K19" s="64"/>
      <c r="L19" s="64"/>
      <c r="P19" s="26">
        <f t="shared" si="0"/>
        <v>0</v>
      </c>
      <c r="Q19" s="26">
        <f>IFERROR(INDEX(METER,MATCH($L19,Waste!$H$2:$H$17,1),IF(INDEX(SSSCO,MATCH($D$5,Waste!$B$2:$B$80,0),5)="Full Value",3,IF(INDEX(SSSCO,MATCH($D$5,Waste!$B$2:$B$80,0),5)="Abated Value",4,-1))),0)</f>
        <v>0</v>
      </c>
      <c r="R19" s="1" t="str">
        <f>IF(B5="None","None","Waste Charge")</f>
        <v>None</v>
      </c>
      <c r="S19" s="51">
        <f ca="1">SUM(S14:S16)</f>
        <v>0</v>
      </c>
    </row>
    <row r="20" spans="2:19" ht="16.899999999999999" customHeight="1" thickBot="1" x14ac:dyDescent="0.3">
      <c r="B20" s="11">
        <f>D20*Waste!I20</f>
        <v>7.75</v>
      </c>
      <c r="C20" s="45" t="str">
        <f>IF($B$5="Unmeasured","Unmeasured Sewerage Item A Count","None")</f>
        <v>None</v>
      </c>
      <c r="D20" s="46">
        <v>1</v>
      </c>
      <c r="E20" s="38" t="s">
        <v>216</v>
      </c>
      <c r="F20" s="20"/>
      <c r="G20" s="26" t="s">
        <v>65</v>
      </c>
      <c r="H20" s="34" t="s">
        <v>212</v>
      </c>
      <c r="I20" s="64"/>
      <c r="J20" s="64"/>
      <c r="K20" s="64"/>
      <c r="L20" s="64"/>
      <c r="P20" s="26">
        <f t="shared" si="0"/>
        <v>0</v>
      </c>
      <c r="Q20" s="26">
        <f>IFERROR(INDEX(METER,MATCH($L20,Waste!$H$2:$H$17,1),IF(INDEX(SSSCO,MATCH($D$5,Waste!$B$2:$B$80,0),5)="Full Value",3,IF(INDEX(SSSCO,MATCH($D$5,Waste!$B$2:$B$80,0),5)="Abated Value",4,-1))),0)</f>
        <v>0</v>
      </c>
      <c r="R20" s="13" t="str">
        <f>IF(AND(B4="None",B5="None"),"None","Total Charge Per Year")</f>
        <v>None</v>
      </c>
      <c r="S20" s="52">
        <f ca="1">SUM(S18:S19)</f>
        <v>0</v>
      </c>
    </row>
    <row r="21" spans="2:19" ht="16.899999999999999" customHeight="1" thickBot="1" x14ac:dyDescent="0.3">
      <c r="G21" s="26" t="s">
        <v>66</v>
      </c>
      <c r="H21" s="44" t="s">
        <v>212</v>
      </c>
      <c r="I21" s="65"/>
      <c r="J21" s="65"/>
      <c r="K21" s="65"/>
      <c r="L21" s="65"/>
      <c r="P21" s="26">
        <f t="shared" si="0"/>
        <v>0</v>
      </c>
      <c r="Q21" s="26">
        <f>IFERROR(INDEX(METER,MATCH($L21,Waste!$H$2:$H$17,1),IF(INDEX(SSSCO,MATCH($D$5,Waste!$B$2:$B$80,0),5)="Full Value",3,IF(INDEX(SSSCO,MATCH($D$5,Waste!$B$2:$B$80,0),5)="Abated Value",4,-1))),0)</f>
        <v>0</v>
      </c>
    </row>
    <row r="22" spans="2:19" ht="19.899999999999999" customHeight="1" x14ac:dyDescent="0.25">
      <c r="C22" s="75" t="s">
        <v>168</v>
      </c>
      <c r="D22" s="75"/>
      <c r="E22" s="75"/>
      <c r="F22" s="75"/>
      <c r="G22" s="26" t="s">
        <v>67</v>
      </c>
      <c r="H22" s="44" t="s">
        <v>212</v>
      </c>
      <c r="I22" s="64"/>
      <c r="J22" s="64"/>
      <c r="K22" s="64"/>
      <c r="L22" s="64"/>
      <c r="M22" s="43"/>
      <c r="N22" s="43"/>
      <c r="O22" s="43"/>
      <c r="P22" s="26">
        <f t="shared" si="0"/>
        <v>0</v>
      </c>
      <c r="Q22" s="26">
        <f>IFERROR(INDEX(METER,MATCH($L22,Waste!$H$2:$H$17,1),IF(INDEX(SSSCO,MATCH($D$5,Waste!$B$2:$B$80,0),5)="Full Value",3,IF(INDEX(SSSCO,MATCH($D$5,Waste!$B$2:$B$80,0),5)="Abated Value",4,-1))),0)</f>
        <v>0</v>
      </c>
      <c r="R22" s="43"/>
      <c r="S22" s="42"/>
    </row>
    <row r="23" spans="2:19" ht="19.899999999999999" customHeight="1" x14ac:dyDescent="0.25">
      <c r="C23" s="76"/>
      <c r="D23" s="76"/>
      <c r="E23" s="76"/>
      <c r="F23" s="76"/>
      <c r="G23" s="26" t="s">
        <v>68</v>
      </c>
      <c r="H23" s="44" t="s">
        <v>212</v>
      </c>
      <c r="I23" s="64"/>
      <c r="J23" s="64"/>
      <c r="K23" s="64"/>
      <c r="L23" s="64"/>
      <c r="M23" s="43"/>
      <c r="N23" s="43"/>
      <c r="O23" s="43"/>
      <c r="P23" s="26">
        <f t="shared" si="0"/>
        <v>0</v>
      </c>
      <c r="Q23" s="26">
        <f>IFERROR(INDEX(METER,MATCH($L23,Waste!$H$2:$H$17,1),IF(INDEX(SSSCO,MATCH($D$5,Waste!$B$2:$B$80,0),5)="Full Value",3,IF(INDEX(SSSCO,MATCH($D$5,Waste!$B$2:$B$80,0),5)="Abated Value",4,-1))),0)</f>
        <v>0</v>
      </c>
      <c r="R23" s="43"/>
      <c r="S23" s="42"/>
    </row>
    <row r="24" spans="2:19" ht="19.899999999999999" customHeight="1" x14ac:dyDescent="0.25">
      <c r="C24" s="76"/>
      <c r="D24" s="76"/>
      <c r="E24" s="76"/>
      <c r="F24" s="76"/>
      <c r="G24" s="26" t="s">
        <v>69</v>
      </c>
      <c r="H24" s="44" t="s">
        <v>212</v>
      </c>
      <c r="I24" s="65"/>
      <c r="J24" s="65"/>
      <c r="K24" s="65"/>
      <c r="L24" s="65"/>
      <c r="P24" s="26">
        <f t="shared" si="0"/>
        <v>0</v>
      </c>
      <c r="Q24" s="26">
        <f>IFERROR(INDEX(METER,MATCH($L24,Waste!$H$2:$H$17,1),IF(INDEX(SSSCO,MATCH($D$5,Waste!$B$2:$B$80,0),5)="Full Value",3,IF(INDEX(SSSCO,MATCH($D$5,Waste!$B$2:$B$80,0),5)="Abated Value",4,-1))),0)</f>
        <v>0</v>
      </c>
    </row>
    <row r="25" spans="2:19" ht="19.899999999999999" customHeight="1" x14ac:dyDescent="0.25">
      <c r="C25" s="76"/>
      <c r="D25" s="76"/>
      <c r="E25" s="76"/>
      <c r="F25" s="76"/>
      <c r="G25" s="26" t="s">
        <v>70</v>
      </c>
      <c r="H25" s="34" t="s">
        <v>212</v>
      </c>
      <c r="I25" s="64"/>
      <c r="J25" s="64"/>
      <c r="K25" s="64"/>
      <c r="L25" s="64"/>
      <c r="P25" s="26">
        <f t="shared" si="0"/>
        <v>0</v>
      </c>
      <c r="Q25" s="26">
        <f>IFERROR(INDEX(METER,MATCH($L25,Waste!$H$2:$H$17,1),IF(INDEX(SSSCO,MATCH($D$5,Waste!$B$2:$B$80,0),5)="Full Value",3,IF(INDEX(SSSCO,MATCH($D$5,Waste!$B$2:$B$80,0),5)="Abated Value",4,-1))),0)</f>
        <v>0</v>
      </c>
    </row>
    <row r="26" spans="2:19" ht="19.899999999999999" customHeight="1" thickBot="1" x14ac:dyDescent="0.3">
      <c r="C26" s="77"/>
      <c r="D26" s="77"/>
      <c r="E26" s="77"/>
      <c r="F26" s="77"/>
      <c r="G26" s="26" t="s">
        <v>71</v>
      </c>
      <c r="H26" s="34" t="s">
        <v>212</v>
      </c>
      <c r="I26" s="64"/>
      <c r="J26" s="64"/>
      <c r="K26" s="64"/>
      <c r="L26" s="64"/>
      <c r="P26" s="26">
        <f t="shared" si="0"/>
        <v>0</v>
      </c>
      <c r="Q26" s="26">
        <f>IFERROR(INDEX(METER,MATCH($L26,Waste!$H$2:$H$17,1),IF(INDEX(SSSCO,MATCH($D$5,Waste!$B$2:$B$80,0),5)="Full Value",3,IF(INDEX(SSSCO,MATCH($D$5,Waste!$B$2:$B$80,0),5)="Abated Value",4,-1))),0)</f>
        <v>0</v>
      </c>
    </row>
    <row r="27" spans="2:19" ht="16.899999999999999" customHeight="1" x14ac:dyDescent="0.25">
      <c r="C27" s="43"/>
      <c r="D27" s="43"/>
      <c r="E27" s="43"/>
      <c r="G27" s="26" t="s">
        <v>72</v>
      </c>
      <c r="H27" s="34" t="s">
        <v>212</v>
      </c>
      <c r="I27" s="64"/>
      <c r="J27" s="64"/>
      <c r="K27" s="64"/>
      <c r="L27" s="64"/>
      <c r="P27" s="26">
        <f t="shared" si="0"/>
        <v>0</v>
      </c>
      <c r="Q27" s="26">
        <f>IFERROR(INDEX(METER,MATCH($L27,Waste!$H$2:$H$17,1),IF(INDEX(SSSCO,MATCH($D$5,Waste!$B$2:$B$80,0),5)="Full Value",3,IF(INDEX(SSSCO,MATCH($D$5,Waste!$B$2:$B$80,0),5)="Abated Value",4,-1))),0)</f>
        <v>0</v>
      </c>
    </row>
    <row r="28" spans="2:19" ht="16.899999999999999" customHeight="1" x14ac:dyDescent="0.25">
      <c r="C28" s="43"/>
      <c r="D28" s="43"/>
      <c r="E28" s="43"/>
      <c r="G28" s="26" t="s">
        <v>210</v>
      </c>
      <c r="H28" s="34" t="s">
        <v>212</v>
      </c>
      <c r="I28" s="65"/>
      <c r="J28" s="65"/>
      <c r="K28" s="65"/>
      <c r="L28" s="65"/>
    </row>
    <row r="29" spans="2:19" ht="16.899999999999999" customHeight="1" x14ac:dyDescent="0.25">
      <c r="C29" s="1"/>
      <c r="D29" s="23"/>
      <c r="E29" s="1"/>
    </row>
    <row r="30" spans="2:19" ht="16.899999999999999" customHeight="1" x14ac:dyDescent="0.25">
      <c r="C30" s="1"/>
      <c r="D30" s="23"/>
      <c r="E30" s="1"/>
    </row>
    <row r="31" spans="2:19" ht="16.899999999999999" customHeight="1" x14ac:dyDescent="0.25">
      <c r="C31" s="1"/>
      <c r="D31" s="23"/>
      <c r="E31" s="1"/>
    </row>
    <row r="32" spans="2:19" ht="16.899999999999999" customHeight="1" x14ac:dyDescent="0.25">
      <c r="C32" s="1"/>
      <c r="D32" s="23"/>
      <c r="E32" s="1"/>
      <c r="F32" s="20"/>
      <c r="G32" s="20"/>
      <c r="H32" s="20"/>
      <c r="I32" s="20"/>
    </row>
    <row r="33" spans="4:9" ht="16.899999999999999" customHeight="1" x14ac:dyDescent="0.25">
      <c r="E33" s="20"/>
      <c r="F33" s="20"/>
      <c r="G33" s="20"/>
      <c r="H33" s="20"/>
      <c r="I33" s="20"/>
    </row>
    <row r="34" spans="4:9" ht="16.899999999999999" customHeight="1" x14ac:dyDescent="0.25">
      <c r="E34" s="20"/>
      <c r="F34" s="20"/>
      <c r="G34" s="20"/>
      <c r="H34" s="20"/>
      <c r="I34" s="20"/>
    </row>
    <row r="35" spans="4:9" ht="16.899999999999999" customHeight="1" x14ac:dyDescent="0.25">
      <c r="E35" s="20"/>
      <c r="F35" s="20"/>
      <c r="G35" s="20"/>
      <c r="H35" s="20"/>
      <c r="I35" s="20"/>
    </row>
    <row r="36" spans="4:9" ht="16.899999999999999" customHeight="1" x14ac:dyDescent="0.25">
      <c r="E36" s="20"/>
      <c r="F36" s="20"/>
      <c r="G36" s="20"/>
      <c r="H36" s="20"/>
      <c r="I36" s="20"/>
    </row>
    <row r="37" spans="4:9" ht="16.899999999999999" customHeight="1" x14ac:dyDescent="0.25">
      <c r="E37" s="20"/>
      <c r="F37" s="20"/>
      <c r="G37" s="20"/>
      <c r="H37" s="20"/>
      <c r="I37" s="20"/>
    </row>
    <row r="38" spans="4:9" ht="16.899999999999999" customHeight="1" x14ac:dyDescent="0.25">
      <c r="E38" s="20"/>
      <c r="F38" s="20"/>
      <c r="G38" s="20"/>
      <c r="H38" s="20"/>
      <c r="I38" s="20"/>
    </row>
    <row r="40" spans="4:9" ht="13.9" customHeight="1" x14ac:dyDescent="0.25"/>
    <row r="41" spans="4:9" x14ac:dyDescent="0.25">
      <c r="D41" s="23"/>
    </row>
  </sheetData>
  <sheetProtection algorithmName="SHA-512" hashValue="SlBDVHdJ1dcG1iiAZNVKqMYLqKnjkQEUfLF3D6rz9N+VWGvEYdQhgmmSGBrbJa+GE7YU1ouPZyLIywHq0VjhGw==" saltValue="ymO8MynyrL07Yy4aJWsBdQ==" spinCount="100000" sheet="1" objects="1" scenarios="1"/>
  <mergeCells count="2">
    <mergeCell ref="R3:S3"/>
    <mergeCell ref="C22:F26"/>
  </mergeCells>
  <phoneticPr fontId="10" type="noConversion"/>
  <conditionalFormatting sqref="D8">
    <cfRule type="expression" dxfId="25" priority="88">
      <formula>IF(C8="None",1,0)</formula>
    </cfRule>
  </conditionalFormatting>
  <conditionalFormatting sqref="C6">
    <cfRule type="expression" dxfId="24" priority="63">
      <formula>IF(C6="None",1,0)</formula>
    </cfRule>
  </conditionalFormatting>
  <conditionalFormatting sqref="E8">
    <cfRule type="expression" dxfId="23" priority="39">
      <formula>IF(C8="None",1,0)</formula>
    </cfRule>
  </conditionalFormatting>
  <conditionalFormatting sqref="E9">
    <cfRule type="expression" dxfId="22" priority="38">
      <formula>IF(C9="None",1,0)</formula>
    </cfRule>
  </conditionalFormatting>
  <conditionalFormatting sqref="E11">
    <cfRule type="expression" dxfId="21" priority="37">
      <formula>IF(C11="None",1,0)</formula>
    </cfRule>
  </conditionalFormatting>
  <conditionalFormatting sqref="E12">
    <cfRule type="expression" dxfId="20" priority="36">
      <formula>IF(C12="None",1,0)</formula>
    </cfRule>
  </conditionalFormatting>
  <conditionalFormatting sqref="E20">
    <cfRule type="expression" dxfId="19" priority="30">
      <formula>IF(C20="None",1,0)</formula>
    </cfRule>
  </conditionalFormatting>
  <conditionalFormatting sqref="E4">
    <cfRule type="expression" dxfId="18" priority="125">
      <formula>IF(B4="None",1,0)</formula>
    </cfRule>
  </conditionalFormatting>
  <conditionalFormatting sqref="E5">
    <cfRule type="expression" dxfId="17" priority="16">
      <formula>IF(B5="None",1,0)</formula>
    </cfRule>
  </conditionalFormatting>
  <conditionalFormatting sqref="G4:L21 G25:L28 G22:G24 H22:H23">
    <cfRule type="expression" dxfId="16" priority="132">
      <formula>IF(RIGHT($G4,2)+0&gt;$B$6,1,0)</formula>
    </cfRule>
    <cfRule type="expression" dxfId="15" priority="133">
      <formula>IF(OR($B$6="None",$B$6=0),1,0)</formula>
    </cfRule>
  </conditionalFormatting>
  <conditionalFormatting sqref="D6">
    <cfRule type="expression" dxfId="14" priority="15">
      <formula>IF(C6="None",1,0)</formula>
    </cfRule>
  </conditionalFormatting>
  <conditionalFormatting sqref="H24:L24 I22:L23">
    <cfRule type="expression" dxfId="13" priority="13">
      <formula>IF(RIGHT($G22,2)+0&gt;$B$6,1,0)</formula>
    </cfRule>
    <cfRule type="expression" dxfId="12" priority="14">
      <formula>IF(OR($B$6="None",$B$6=0),1,0)</formula>
    </cfRule>
  </conditionalFormatting>
  <conditionalFormatting sqref="R7:S8 R14:S16 R19:S19">
    <cfRule type="expression" dxfId="11" priority="12">
      <formula>IF($B$5="None",1,0)</formula>
    </cfRule>
  </conditionalFormatting>
  <conditionalFormatting sqref="R4:S5 R10:S12 R18:S18">
    <cfRule type="expression" dxfId="10" priority="11">
      <formula>IF($B$4="None",1,0)</formula>
    </cfRule>
  </conditionalFormatting>
  <conditionalFormatting sqref="G3:L3">
    <cfRule type="expression" dxfId="9" priority="10">
      <formula>IF(AND($B$4&lt;&gt;"Metered",$B$5&lt;&gt;"Metered"),1,0)</formula>
    </cfRule>
  </conditionalFormatting>
  <conditionalFormatting sqref="R4:S8 R10:S19">
    <cfRule type="expression" dxfId="8" priority="9">
      <formula>IF(AND($B$4="None",$B$5="None"),1,0)</formula>
    </cfRule>
  </conditionalFormatting>
  <conditionalFormatting sqref="R20:S20">
    <cfRule type="expression" dxfId="7" priority="8">
      <formula>IF(AND($B$4="None",$B$5="None"),1,0)</formula>
    </cfRule>
  </conditionalFormatting>
  <conditionalFormatting sqref="R12:S12 R16:S16">
    <cfRule type="expression" dxfId="6" priority="7">
      <formula>IF(OR($B$4="Assessed",$B$4="None"),1,0)</formula>
    </cfRule>
  </conditionalFormatting>
  <conditionalFormatting sqref="C8:D20">
    <cfRule type="expression" dxfId="5" priority="6">
      <formula>IF(AND($B$4="Metered",$B$5="Metered"),1,0)</formula>
    </cfRule>
  </conditionalFormatting>
  <conditionalFormatting sqref="R3:S3">
    <cfRule type="expression" dxfId="4" priority="5">
      <formula>IF(AND($B$4="None",$B$5="None"),1,0)</formula>
    </cfRule>
  </conditionalFormatting>
  <conditionalFormatting sqref="C8:D8 C11:D11">
    <cfRule type="expression" dxfId="3" priority="4">
      <formula>IF(OR($B$4="Metered",$B$4="None"),1,0)</formula>
    </cfRule>
  </conditionalFormatting>
  <conditionalFormatting sqref="C9:D9 C12:D12">
    <cfRule type="expression" dxfId="2" priority="3">
      <formula>IF(OR($B$5="Metered",$B$5="None"),1,0)</formula>
    </cfRule>
  </conditionalFormatting>
  <conditionalFormatting sqref="C14:E18">
    <cfRule type="expression" dxfId="1" priority="2">
      <formula>IF($B$4&lt;&gt;"Unmeasured",1,0)</formula>
    </cfRule>
  </conditionalFormatting>
  <conditionalFormatting sqref="C20:E20">
    <cfRule type="expression" dxfId="0" priority="1">
      <formula>IF($B$5&lt;&gt;"Unmeasured",1,0)</formula>
    </cfRule>
  </conditionalFormatting>
  <dataValidations count="2">
    <dataValidation type="decimal" operator="greaterThanOrEqual" allowBlank="1" showInputMessage="1" showErrorMessage="1" sqref="D11:D12 D14:D18 D20 D8:D9" xr:uid="{00000000-0002-0000-0000-000002000000}">
      <formula1>0</formula1>
    </dataValidation>
    <dataValidation type="decimal" operator="lessThanOrEqual" allowBlank="1" showInputMessage="1" showErrorMessage="1" sqref="J4:J21 J24:J27" xr:uid="{00000000-0002-0000-0000-000003000000}">
      <formula1>100</formula1>
    </dataValidation>
  </dataValidations>
  <printOptions horizontalCentered="1"/>
  <pageMargins left="0.23622047244094491" right="0.23622047244094491" top="0.74803149606299213" bottom="0.74803149606299213" header="0.11811023622047245" footer="0.31496062992125984"/>
  <pageSetup paperSize="9" scale="62" orientation="landscape" r:id="rId1"/>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errorTitle="Invalid Tariff Code" error="Tariff Code Must Be A Thames Water Wholesale Water Tariff Code" xr:uid="{F8607B9E-383C-4AB7-B813-B1DC66242B7B}">
          <x14:formula1>
            <xm:f>List!$E$2:$E$47</xm:f>
          </x14:formula1>
          <xm:sqref>D4</xm:sqref>
        </x14:dataValidation>
        <x14:dataValidation type="list" errorStyle="information" allowBlank="1" showInputMessage="1" showErrorMessage="1" errorTitle="Invalid Tariff Code" error="Tariff Code Must Be A Thames Water Wholesale Sewerage Tariff Code" xr:uid="{140F6BF4-B12D-408D-B7DB-EA8F53665E11}">
          <x14:formula1>
            <xm:f>List!$F$2:$F$79</xm:f>
          </x14:formula1>
          <xm:sqref>D5</xm:sqref>
        </x14:dataValidation>
        <x14:dataValidation type="list" allowBlank="1" showInputMessage="1" showErrorMessage="1" xr:uid="{B702C5E6-3429-455E-A537-A7D5FA98ED82}">
          <x14:formula1>
            <xm:f>List!$G$2:$G$27</xm:f>
          </x14:formula1>
          <xm:sqref>D6</xm:sqref>
        </x14:dataValidation>
        <x14:dataValidation type="list" allowBlank="1" showInputMessage="1" showErrorMessage="1" xr:uid="{7208983C-2F7E-423E-B84B-18DE1AB991B1}">
          <x14:formula1>
            <xm:f>List!$J$2:$J$6</xm:f>
          </x14:formula1>
          <xm:sqref>H4:H28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48"/>
  <sheetViews>
    <sheetView zoomScale="80" zoomScaleNormal="80" workbookViewId="0">
      <selection activeCell="I27" sqref="I27"/>
    </sheetView>
  </sheetViews>
  <sheetFormatPr defaultRowHeight="15" x14ac:dyDescent="0.25"/>
  <cols>
    <col min="1" max="1" width="9.42578125" bestFit="1" customWidth="1"/>
    <col min="2" max="2" width="23.85546875" style="15" bestFit="1" customWidth="1"/>
    <col min="3" max="3" width="70.140625" customWidth="1"/>
    <col min="4" max="4" width="22.5703125" bestFit="1" customWidth="1"/>
    <col min="5" max="5" width="39" bestFit="1" customWidth="1"/>
    <col min="6" max="6" width="22.28515625" bestFit="1" customWidth="1"/>
    <col min="8" max="8" width="29.140625" bestFit="1" customWidth="1"/>
    <col min="9" max="9" width="29.5703125" bestFit="1" customWidth="1"/>
    <col min="10" max="10" width="12.28515625" customWidth="1"/>
    <col min="11" max="11" width="7.28515625" bestFit="1" customWidth="1"/>
    <col min="12" max="12" width="8.28515625" bestFit="1" customWidth="1"/>
    <col min="13" max="13" width="10" bestFit="1" customWidth="1"/>
  </cols>
  <sheetData>
    <row r="1" spans="1:13" x14ac:dyDescent="0.25">
      <c r="H1" t="s">
        <v>217</v>
      </c>
    </row>
    <row r="2" spans="1:13" x14ac:dyDescent="0.25">
      <c r="B2" s="5" t="s">
        <v>0</v>
      </c>
      <c r="C2" s="5" t="s">
        <v>94</v>
      </c>
      <c r="D2" s="5" t="s">
        <v>6</v>
      </c>
      <c r="E2" s="5" t="s">
        <v>7</v>
      </c>
      <c r="F2" s="5" t="s">
        <v>8</v>
      </c>
      <c r="H2" s="5" t="s">
        <v>100</v>
      </c>
      <c r="I2" s="5" t="s">
        <v>101</v>
      </c>
      <c r="J2" s="5" t="s">
        <v>96</v>
      </c>
      <c r="K2" s="5" t="s">
        <v>99</v>
      </c>
      <c r="L2" s="5" t="s">
        <v>97</v>
      </c>
      <c r="M2" s="5" t="s">
        <v>98</v>
      </c>
    </row>
    <row r="3" spans="1:13" s="66" customFormat="1" x14ac:dyDescent="0.25">
      <c r="B3" s="14" t="s">
        <v>4</v>
      </c>
      <c r="C3" s="9" t="s">
        <v>1</v>
      </c>
      <c r="D3" s="71">
        <v>1.5415000000000001</v>
      </c>
      <c r="E3" s="4">
        <v>0</v>
      </c>
      <c r="F3" s="9" t="s">
        <v>12</v>
      </c>
      <c r="H3" s="6">
        <v>0</v>
      </c>
      <c r="I3" s="6">
        <v>0</v>
      </c>
      <c r="J3" s="4">
        <v>0</v>
      </c>
      <c r="K3" s="4">
        <v>0</v>
      </c>
      <c r="L3" s="4">
        <v>0</v>
      </c>
      <c r="M3" s="4">
        <v>0</v>
      </c>
    </row>
    <row r="4" spans="1:13" s="66" customFormat="1" x14ac:dyDescent="0.25">
      <c r="B4" s="14" t="s">
        <v>36</v>
      </c>
      <c r="C4" s="9" t="s">
        <v>1</v>
      </c>
      <c r="D4" s="71">
        <v>1.5415000000000001</v>
      </c>
      <c r="E4" s="4">
        <v>0</v>
      </c>
      <c r="F4" s="9" t="s">
        <v>12</v>
      </c>
      <c r="H4" s="6">
        <v>1</v>
      </c>
      <c r="I4" s="6">
        <v>19</v>
      </c>
      <c r="J4" s="4">
        <v>18.88</v>
      </c>
      <c r="K4" s="4">
        <f>J4*2</f>
        <v>37.76</v>
      </c>
      <c r="L4" s="4">
        <f>J4*12</f>
        <v>226.56</v>
      </c>
      <c r="M4" s="4">
        <f>J4*67</f>
        <v>1264.96</v>
      </c>
    </row>
    <row r="5" spans="1:13" s="66" customFormat="1" x14ac:dyDescent="0.25">
      <c r="B5" s="14" t="s">
        <v>37</v>
      </c>
      <c r="C5" s="9" t="s">
        <v>1</v>
      </c>
      <c r="D5" s="71">
        <v>1.5415000000000001</v>
      </c>
      <c r="E5" s="4">
        <v>0</v>
      </c>
      <c r="F5" s="9" t="s">
        <v>12</v>
      </c>
      <c r="H5" s="6">
        <v>20</v>
      </c>
      <c r="I5" s="6">
        <v>24</v>
      </c>
      <c r="J5" s="4">
        <v>18.88</v>
      </c>
      <c r="K5" s="4">
        <v>0</v>
      </c>
      <c r="L5" s="4">
        <v>0</v>
      </c>
      <c r="M5" s="4">
        <v>0</v>
      </c>
    </row>
    <row r="6" spans="1:13" s="66" customFormat="1" x14ac:dyDescent="0.25">
      <c r="B6" s="14" t="s">
        <v>38</v>
      </c>
      <c r="C6" s="9" t="s">
        <v>1</v>
      </c>
      <c r="D6" s="71">
        <v>1.5415000000000001</v>
      </c>
      <c r="E6" s="4">
        <v>0</v>
      </c>
      <c r="F6" s="9" t="s">
        <v>12</v>
      </c>
      <c r="H6" s="6">
        <v>25</v>
      </c>
      <c r="I6" s="6">
        <v>29</v>
      </c>
      <c r="J6" s="4">
        <v>18.88</v>
      </c>
      <c r="K6" s="4">
        <v>0</v>
      </c>
      <c r="L6" s="4">
        <v>0</v>
      </c>
      <c r="M6" s="4">
        <v>0</v>
      </c>
    </row>
    <row r="7" spans="1:13" s="66" customFormat="1" x14ac:dyDescent="0.25">
      <c r="B7" s="14" t="s">
        <v>39</v>
      </c>
      <c r="C7" s="9" t="s">
        <v>1</v>
      </c>
      <c r="D7" s="71">
        <v>1.4105000000000001</v>
      </c>
      <c r="E7" s="4">
        <v>2620</v>
      </c>
      <c r="F7" s="9" t="s">
        <v>12</v>
      </c>
      <c r="H7" s="6">
        <v>30</v>
      </c>
      <c r="I7" s="6">
        <v>39</v>
      </c>
      <c r="J7" s="4">
        <v>18.88</v>
      </c>
      <c r="K7" s="4">
        <v>0</v>
      </c>
      <c r="L7" s="4">
        <v>0</v>
      </c>
      <c r="M7" s="4">
        <v>0</v>
      </c>
    </row>
    <row r="8" spans="1:13" s="66" customFormat="1" x14ac:dyDescent="0.25">
      <c r="B8" s="14" t="s">
        <v>43</v>
      </c>
      <c r="C8" s="9" t="s">
        <v>1</v>
      </c>
      <c r="D8" s="71">
        <v>1.4105000000000001</v>
      </c>
      <c r="E8" s="4">
        <v>0</v>
      </c>
      <c r="F8" s="9" t="s">
        <v>12</v>
      </c>
      <c r="H8" s="6">
        <v>40</v>
      </c>
      <c r="I8" s="6">
        <v>49</v>
      </c>
      <c r="J8" s="4">
        <v>18.88</v>
      </c>
      <c r="K8" s="4">
        <v>0</v>
      </c>
      <c r="L8" s="4">
        <v>0</v>
      </c>
      <c r="M8" s="4">
        <v>0</v>
      </c>
    </row>
    <row r="9" spans="1:13" s="66" customFormat="1" x14ac:dyDescent="0.25">
      <c r="B9" s="14" t="s">
        <v>40</v>
      </c>
      <c r="C9" s="9" t="s">
        <v>1</v>
      </c>
      <c r="D9" s="71">
        <v>1.1560999999999999</v>
      </c>
      <c r="E9" s="4">
        <v>15340</v>
      </c>
      <c r="F9" s="9" t="s">
        <v>12</v>
      </c>
      <c r="H9" s="6">
        <v>50</v>
      </c>
      <c r="I9" s="6">
        <v>64</v>
      </c>
      <c r="J9" s="4">
        <v>18.88</v>
      </c>
      <c r="K9" s="4">
        <v>0</v>
      </c>
      <c r="L9" s="4">
        <v>0</v>
      </c>
      <c r="M9" s="4">
        <v>0</v>
      </c>
    </row>
    <row r="10" spans="1:13" s="66" customFormat="1" x14ac:dyDescent="0.25">
      <c r="B10" s="14" t="s">
        <v>44</v>
      </c>
      <c r="C10" s="9" t="s">
        <v>1</v>
      </c>
      <c r="D10" s="71">
        <v>1.1560999999999999</v>
      </c>
      <c r="E10" s="4">
        <v>0</v>
      </c>
      <c r="F10" s="9" t="s">
        <v>12</v>
      </c>
      <c r="H10" s="6">
        <v>65</v>
      </c>
      <c r="I10" s="6">
        <v>74</v>
      </c>
      <c r="J10" s="4">
        <v>18.88</v>
      </c>
      <c r="K10" s="4">
        <v>0</v>
      </c>
      <c r="L10" s="4">
        <v>0</v>
      </c>
      <c r="M10" s="4">
        <v>0</v>
      </c>
    </row>
    <row r="11" spans="1:13" s="66" customFormat="1" x14ac:dyDescent="0.25">
      <c r="B11" s="14" t="s">
        <v>41</v>
      </c>
      <c r="C11" s="9" t="s">
        <v>1</v>
      </c>
      <c r="D11" s="71">
        <v>0.92490000000000006</v>
      </c>
      <c r="E11" s="4">
        <v>73140</v>
      </c>
      <c r="F11" s="9" t="s">
        <v>12</v>
      </c>
      <c r="H11" s="6">
        <v>75</v>
      </c>
      <c r="I11" s="6">
        <v>99</v>
      </c>
      <c r="J11" s="4">
        <v>18.88</v>
      </c>
      <c r="K11" s="4">
        <v>0</v>
      </c>
      <c r="L11" s="4">
        <v>0</v>
      </c>
      <c r="M11" s="4">
        <v>0</v>
      </c>
    </row>
    <row r="12" spans="1:13" s="66" customFormat="1" x14ac:dyDescent="0.25">
      <c r="B12" s="14" t="s">
        <v>42</v>
      </c>
      <c r="C12" s="9" t="s">
        <v>1</v>
      </c>
      <c r="D12" s="71">
        <v>0.92490000000000006</v>
      </c>
      <c r="E12" s="4">
        <v>0</v>
      </c>
      <c r="F12" s="9" t="s">
        <v>12</v>
      </c>
      <c r="H12" s="6">
        <v>100</v>
      </c>
      <c r="I12" s="6" t="s">
        <v>13</v>
      </c>
      <c r="J12" s="4">
        <v>18.88</v>
      </c>
      <c r="K12" s="4">
        <v>0</v>
      </c>
      <c r="L12" s="4">
        <v>0</v>
      </c>
      <c r="M12" s="4">
        <v>0</v>
      </c>
    </row>
    <row r="13" spans="1:13" x14ac:dyDescent="0.25">
      <c r="A13" s="19"/>
      <c r="B13" s="14" t="s">
        <v>45</v>
      </c>
      <c r="C13" s="9" t="s">
        <v>1</v>
      </c>
      <c r="D13" s="10">
        <v>0</v>
      </c>
      <c r="E13" s="4">
        <v>0</v>
      </c>
      <c r="F13" s="9" t="s">
        <v>12</v>
      </c>
    </row>
    <row r="14" spans="1:13" x14ac:dyDescent="0.25">
      <c r="A14" s="19"/>
      <c r="B14" s="14" t="s">
        <v>125</v>
      </c>
      <c r="C14" s="9" t="s">
        <v>1</v>
      </c>
      <c r="D14" s="10">
        <v>0</v>
      </c>
      <c r="E14" s="4">
        <v>0</v>
      </c>
      <c r="F14" s="9" t="s">
        <v>12</v>
      </c>
    </row>
    <row r="15" spans="1:13" x14ac:dyDescent="0.25">
      <c r="A15" s="19"/>
      <c r="B15" s="14" t="s">
        <v>126</v>
      </c>
      <c r="C15" s="9" t="s">
        <v>1</v>
      </c>
      <c r="D15" s="10">
        <v>0</v>
      </c>
      <c r="E15" s="4">
        <v>0</v>
      </c>
      <c r="F15" s="9" t="s">
        <v>12</v>
      </c>
    </row>
    <row r="16" spans="1:13" ht="15.75" thickBot="1" x14ac:dyDescent="0.3">
      <c r="A16" s="19"/>
      <c r="B16" s="14" t="s">
        <v>127</v>
      </c>
      <c r="C16" s="9" t="s">
        <v>1</v>
      </c>
      <c r="D16" s="10">
        <v>0</v>
      </c>
      <c r="E16" s="4">
        <v>0</v>
      </c>
      <c r="F16" s="9" t="s">
        <v>12</v>
      </c>
      <c r="H16" s="5" t="s">
        <v>102</v>
      </c>
      <c r="I16" s="5" t="s">
        <v>103</v>
      </c>
    </row>
    <row r="17" spans="1:10" s="66" customFormat="1" ht="15.75" thickBot="1" x14ac:dyDescent="0.3">
      <c r="B17" s="14" t="s">
        <v>128</v>
      </c>
      <c r="C17" s="9" t="s">
        <v>1</v>
      </c>
      <c r="D17" s="10">
        <v>0</v>
      </c>
      <c r="E17" s="4">
        <v>0</v>
      </c>
      <c r="F17" s="9" t="s">
        <v>12</v>
      </c>
      <c r="H17" s="6" t="s">
        <v>104</v>
      </c>
      <c r="I17" s="4">
        <v>11.61</v>
      </c>
      <c r="J17" s="67" t="s">
        <v>169</v>
      </c>
    </row>
    <row r="18" spans="1:10" s="66" customFormat="1" ht="15.75" thickBot="1" x14ac:dyDescent="0.3">
      <c r="B18" s="14" t="s">
        <v>129</v>
      </c>
      <c r="C18" s="9" t="s">
        <v>1</v>
      </c>
      <c r="D18" s="10">
        <v>0</v>
      </c>
      <c r="E18" s="4">
        <v>0</v>
      </c>
      <c r="F18" s="9" t="s">
        <v>12</v>
      </c>
      <c r="H18" s="6" t="s">
        <v>105</v>
      </c>
      <c r="I18" s="4">
        <v>29.43</v>
      </c>
      <c r="J18" s="68" t="s">
        <v>170</v>
      </c>
    </row>
    <row r="19" spans="1:10" s="66" customFormat="1" ht="15.75" thickBot="1" x14ac:dyDescent="0.3">
      <c r="B19" s="14" t="s">
        <v>74</v>
      </c>
      <c r="C19" s="9" t="s">
        <v>95</v>
      </c>
      <c r="D19" s="71">
        <v>1.5415000000000001</v>
      </c>
      <c r="E19" s="4">
        <v>0</v>
      </c>
      <c r="F19" s="9" t="s">
        <v>12</v>
      </c>
      <c r="H19" s="6" t="s">
        <v>106</v>
      </c>
      <c r="I19" s="4">
        <v>93.22</v>
      </c>
      <c r="J19" s="68" t="s">
        <v>171</v>
      </c>
    </row>
    <row r="20" spans="1:10" s="66" customFormat="1" ht="15.75" thickBot="1" x14ac:dyDescent="0.3">
      <c r="B20" s="14" t="s">
        <v>76</v>
      </c>
      <c r="C20" s="9" t="s">
        <v>95</v>
      </c>
      <c r="D20" s="71">
        <v>1.5415000000000001</v>
      </c>
      <c r="E20" s="4">
        <v>0</v>
      </c>
      <c r="F20" s="9" t="s">
        <v>12</v>
      </c>
      <c r="H20" s="6" t="s">
        <v>107</v>
      </c>
      <c r="I20" s="4">
        <v>186.21</v>
      </c>
      <c r="J20" s="68" t="s">
        <v>172</v>
      </c>
    </row>
    <row r="21" spans="1:10" s="66" customFormat="1" ht="15.75" thickBot="1" x14ac:dyDescent="0.3">
      <c r="B21" s="14" t="s">
        <v>77</v>
      </c>
      <c r="C21" s="9" t="s">
        <v>95</v>
      </c>
      <c r="D21" s="71">
        <v>1.5415000000000001</v>
      </c>
      <c r="E21" s="4">
        <v>0</v>
      </c>
      <c r="F21" s="9" t="s">
        <v>12</v>
      </c>
      <c r="H21" s="6" t="s">
        <v>108</v>
      </c>
      <c r="I21" s="4">
        <v>398.83</v>
      </c>
      <c r="J21" s="68" t="s">
        <v>173</v>
      </c>
    </row>
    <row r="22" spans="1:10" s="66" customFormat="1" x14ac:dyDescent="0.25">
      <c r="B22" s="14" t="s">
        <v>78</v>
      </c>
      <c r="C22" s="9" t="s">
        <v>95</v>
      </c>
      <c r="D22" s="71">
        <v>1.5415000000000001</v>
      </c>
      <c r="E22" s="4">
        <v>0</v>
      </c>
      <c r="F22" s="9" t="s">
        <v>12</v>
      </c>
    </row>
    <row r="23" spans="1:10" s="66" customFormat="1" x14ac:dyDescent="0.25">
      <c r="A23" s="72"/>
      <c r="B23" s="14" t="s">
        <v>79</v>
      </c>
      <c r="C23" s="9" t="s">
        <v>95</v>
      </c>
      <c r="D23" s="10">
        <v>0</v>
      </c>
      <c r="E23" s="4">
        <v>0</v>
      </c>
      <c r="F23" s="9" t="s">
        <v>12</v>
      </c>
    </row>
    <row r="24" spans="1:10" s="66" customFormat="1" x14ac:dyDescent="0.25">
      <c r="A24" s="72"/>
      <c r="B24" s="14" t="s">
        <v>80</v>
      </c>
      <c r="C24" s="9" t="s">
        <v>219</v>
      </c>
      <c r="D24" s="71">
        <v>0.95740000000000003</v>
      </c>
      <c r="E24" s="4">
        <v>0</v>
      </c>
      <c r="F24" s="9" t="s">
        <v>96</v>
      </c>
    </row>
    <row r="25" spans="1:10" s="66" customFormat="1" x14ac:dyDescent="0.25">
      <c r="A25" s="72"/>
      <c r="B25" s="14" t="s">
        <v>81</v>
      </c>
      <c r="C25" s="9" t="s">
        <v>219</v>
      </c>
      <c r="D25" s="71">
        <v>0.97450000000000003</v>
      </c>
      <c r="E25" s="4">
        <v>0</v>
      </c>
      <c r="F25" s="9" t="s">
        <v>96</v>
      </c>
    </row>
    <row r="26" spans="1:10" s="66" customFormat="1" x14ac:dyDescent="0.25">
      <c r="A26" s="72"/>
      <c r="B26" s="14" t="s">
        <v>82</v>
      </c>
      <c r="C26" s="9" t="s">
        <v>219</v>
      </c>
      <c r="D26" s="71">
        <v>0.73250000000000004</v>
      </c>
      <c r="E26" s="4">
        <v>0</v>
      </c>
      <c r="F26" s="9" t="s">
        <v>96</v>
      </c>
    </row>
    <row r="27" spans="1:10" s="66" customFormat="1" x14ac:dyDescent="0.25">
      <c r="A27" s="72"/>
      <c r="B27" s="14" t="s">
        <v>83</v>
      </c>
      <c r="C27" s="9" t="s">
        <v>219</v>
      </c>
      <c r="D27" s="71">
        <v>0.87719999999999998</v>
      </c>
      <c r="E27" s="4">
        <v>0</v>
      </c>
      <c r="F27" s="9" t="s">
        <v>96</v>
      </c>
    </row>
    <row r="28" spans="1:10" s="66" customFormat="1" x14ac:dyDescent="0.25">
      <c r="A28" s="72"/>
      <c r="B28" s="14" t="s">
        <v>87</v>
      </c>
      <c r="C28" s="9" t="s">
        <v>219</v>
      </c>
      <c r="D28" s="71">
        <v>0.87719999999999998</v>
      </c>
      <c r="E28" s="4">
        <v>0</v>
      </c>
      <c r="F28" s="9" t="s">
        <v>97</v>
      </c>
    </row>
    <row r="29" spans="1:10" s="66" customFormat="1" x14ac:dyDescent="0.25">
      <c r="A29" s="72"/>
      <c r="B29" s="14" t="s">
        <v>84</v>
      </c>
      <c r="C29" s="9" t="s">
        <v>219</v>
      </c>
      <c r="D29" s="71">
        <v>1.1268</v>
      </c>
      <c r="E29" s="4">
        <v>0</v>
      </c>
      <c r="F29" s="9" t="s">
        <v>96</v>
      </c>
    </row>
    <row r="30" spans="1:10" s="66" customFormat="1" x14ac:dyDescent="0.25">
      <c r="A30" s="72"/>
      <c r="B30" s="14" t="s">
        <v>88</v>
      </c>
      <c r="C30" s="9" t="s">
        <v>219</v>
      </c>
      <c r="D30" s="71">
        <v>1.1268</v>
      </c>
      <c r="E30" s="4">
        <v>0</v>
      </c>
      <c r="F30" s="9" t="s">
        <v>98</v>
      </c>
    </row>
    <row r="31" spans="1:10" s="66" customFormat="1" x14ac:dyDescent="0.25">
      <c r="A31" s="72"/>
      <c r="B31" s="14" t="s">
        <v>85</v>
      </c>
      <c r="C31" s="9" t="s">
        <v>219</v>
      </c>
      <c r="D31" s="71">
        <v>0.97709999999999997</v>
      </c>
      <c r="E31" s="4">
        <v>0</v>
      </c>
      <c r="F31" s="9" t="s">
        <v>96</v>
      </c>
    </row>
    <row r="32" spans="1:10" s="66" customFormat="1" x14ac:dyDescent="0.25">
      <c r="A32" s="72"/>
      <c r="B32" s="14" t="s">
        <v>89</v>
      </c>
      <c r="C32" s="9" t="s">
        <v>219</v>
      </c>
      <c r="D32" s="71">
        <v>0.97709999999999997</v>
      </c>
      <c r="E32" s="4">
        <v>0</v>
      </c>
      <c r="F32" s="9" t="s">
        <v>99</v>
      </c>
    </row>
    <row r="33" spans="1:6" s="66" customFormat="1" x14ac:dyDescent="0.25">
      <c r="A33" s="72"/>
      <c r="B33" s="14" t="s">
        <v>86</v>
      </c>
      <c r="C33" s="9" t="s">
        <v>219</v>
      </c>
      <c r="D33" s="71">
        <v>1.3425</v>
      </c>
      <c r="E33" s="4">
        <v>0</v>
      </c>
      <c r="F33" s="9" t="s">
        <v>96</v>
      </c>
    </row>
    <row r="34" spans="1:6" s="66" customFormat="1" x14ac:dyDescent="0.25">
      <c r="A34" s="72"/>
      <c r="B34" s="14" t="s">
        <v>90</v>
      </c>
      <c r="C34" s="9" t="s">
        <v>219</v>
      </c>
      <c r="D34" s="71">
        <v>1.3425</v>
      </c>
      <c r="E34" s="4">
        <v>0</v>
      </c>
      <c r="F34" s="9" t="s">
        <v>99</v>
      </c>
    </row>
    <row r="35" spans="1:6" s="66" customFormat="1" x14ac:dyDescent="0.25">
      <c r="A35" s="72"/>
      <c r="B35" s="14" t="s">
        <v>91</v>
      </c>
      <c r="C35" s="9" t="s">
        <v>219</v>
      </c>
      <c r="D35" s="10">
        <v>0</v>
      </c>
      <c r="E35" s="4">
        <v>0</v>
      </c>
      <c r="F35" s="9" t="s">
        <v>12</v>
      </c>
    </row>
    <row r="36" spans="1:6" s="66" customFormat="1" x14ac:dyDescent="0.25">
      <c r="A36" s="72"/>
      <c r="B36" s="14" t="s">
        <v>92</v>
      </c>
      <c r="C36" s="9" t="s">
        <v>219</v>
      </c>
      <c r="D36" s="10">
        <v>0</v>
      </c>
      <c r="E36" s="4">
        <v>0</v>
      </c>
      <c r="F36" s="9" t="s">
        <v>12</v>
      </c>
    </row>
    <row r="37" spans="1:6" s="66" customFormat="1" x14ac:dyDescent="0.25">
      <c r="A37" s="72"/>
      <c r="B37" s="73" t="s">
        <v>177</v>
      </c>
      <c r="C37" s="9" t="s">
        <v>219</v>
      </c>
      <c r="D37" s="71">
        <v>0.73250000000000004</v>
      </c>
      <c r="E37" s="4">
        <v>0</v>
      </c>
      <c r="F37" s="66" t="s">
        <v>96</v>
      </c>
    </row>
    <row r="38" spans="1:6" s="66" customFormat="1" x14ac:dyDescent="0.25">
      <c r="A38" s="72"/>
      <c r="B38" s="73" t="s">
        <v>178</v>
      </c>
      <c r="C38" s="9" t="s">
        <v>219</v>
      </c>
      <c r="D38" s="71">
        <v>0.87719999999999998</v>
      </c>
      <c r="E38" s="4">
        <v>0</v>
      </c>
      <c r="F38" s="66" t="s">
        <v>96</v>
      </c>
    </row>
    <row r="39" spans="1:6" s="66" customFormat="1" x14ac:dyDescent="0.25">
      <c r="A39" s="72"/>
      <c r="B39" s="73" t="s">
        <v>179</v>
      </c>
      <c r="C39" s="9" t="s">
        <v>219</v>
      </c>
      <c r="D39" s="71">
        <v>0.87719999999999998</v>
      </c>
      <c r="E39" s="4">
        <v>0</v>
      </c>
      <c r="F39" s="66" t="s">
        <v>97</v>
      </c>
    </row>
    <row r="40" spans="1:6" s="66" customFormat="1" x14ac:dyDescent="0.25">
      <c r="A40" s="72"/>
      <c r="B40" s="73" t="s">
        <v>182</v>
      </c>
      <c r="C40" s="9" t="s">
        <v>219</v>
      </c>
      <c r="D40" s="71">
        <v>0.97709999999999997</v>
      </c>
      <c r="E40" s="4">
        <v>0</v>
      </c>
      <c r="F40" s="66" t="s">
        <v>96</v>
      </c>
    </row>
    <row r="41" spans="1:6" s="66" customFormat="1" x14ac:dyDescent="0.25">
      <c r="A41" s="72"/>
      <c r="B41" s="73" t="s">
        <v>183</v>
      </c>
      <c r="C41" s="9" t="s">
        <v>219</v>
      </c>
      <c r="D41" s="71">
        <v>0.97709999999999997</v>
      </c>
      <c r="E41" s="4">
        <v>0</v>
      </c>
      <c r="F41" s="66" t="s">
        <v>99</v>
      </c>
    </row>
    <row r="42" spans="1:6" s="66" customFormat="1" x14ac:dyDescent="0.25">
      <c r="A42" s="72"/>
      <c r="B42" s="73" t="s">
        <v>175</v>
      </c>
      <c r="C42" s="9" t="s">
        <v>219</v>
      </c>
      <c r="D42" s="71">
        <v>0.95740000000000003</v>
      </c>
      <c r="E42" s="4">
        <v>0</v>
      </c>
      <c r="F42" s="66" t="s">
        <v>96</v>
      </c>
    </row>
    <row r="43" spans="1:6" s="66" customFormat="1" x14ac:dyDescent="0.25">
      <c r="A43" s="72"/>
      <c r="B43" s="73" t="s">
        <v>176</v>
      </c>
      <c r="C43" s="9" t="s">
        <v>219</v>
      </c>
      <c r="D43" s="71">
        <v>0.97450000000000003</v>
      </c>
      <c r="E43" s="4">
        <v>0</v>
      </c>
      <c r="F43" s="66" t="s">
        <v>96</v>
      </c>
    </row>
    <row r="44" spans="1:6" s="66" customFormat="1" x14ac:dyDescent="0.25">
      <c r="A44" s="72"/>
      <c r="B44" s="73" t="s">
        <v>180</v>
      </c>
      <c r="C44" s="9" t="s">
        <v>219</v>
      </c>
      <c r="D44" s="71">
        <v>1.1268</v>
      </c>
      <c r="E44" s="4">
        <v>0</v>
      </c>
      <c r="F44" s="66" t="s">
        <v>96</v>
      </c>
    </row>
    <row r="45" spans="1:6" s="66" customFormat="1" x14ac:dyDescent="0.25">
      <c r="A45" s="72"/>
      <c r="B45" s="73" t="s">
        <v>181</v>
      </c>
      <c r="C45" s="9" t="s">
        <v>219</v>
      </c>
      <c r="D45" s="71">
        <v>1.1268</v>
      </c>
      <c r="E45" s="4">
        <v>0</v>
      </c>
      <c r="F45" s="66" t="s">
        <v>98</v>
      </c>
    </row>
    <row r="46" spans="1:6" s="66" customFormat="1" x14ac:dyDescent="0.25">
      <c r="A46" s="72"/>
      <c r="B46" s="73" t="s">
        <v>184</v>
      </c>
      <c r="C46" s="9" t="s">
        <v>219</v>
      </c>
      <c r="D46" s="71">
        <v>1.3425</v>
      </c>
      <c r="E46" s="4">
        <v>0</v>
      </c>
      <c r="F46" s="66" t="s">
        <v>96</v>
      </c>
    </row>
    <row r="47" spans="1:6" s="66" customFormat="1" x14ac:dyDescent="0.25">
      <c r="A47" s="72"/>
      <c r="B47" s="73" t="s">
        <v>185</v>
      </c>
      <c r="C47" s="9" t="s">
        <v>219</v>
      </c>
      <c r="D47" s="71">
        <v>1.3425</v>
      </c>
      <c r="E47" s="4">
        <v>0</v>
      </c>
      <c r="F47" s="66" t="s">
        <v>99</v>
      </c>
    </row>
    <row r="48" spans="1:6" s="66" customFormat="1" x14ac:dyDescent="0.25">
      <c r="B48" s="73"/>
    </row>
  </sheetData>
  <sheetProtection algorithmName="SHA-512" hashValue="pAfMw7JxXQgzSJcZtKK1Bll1qJAb3ilUiYJbqvy4DxA5lcXN7fAypTQLnbv91mcMn4AqiC+k8fIHsfSeG4GxIw==" saltValue="eR2KNqxUJuBn8W2AKBJnGg==" spinCount="100000" sheet="1" objects="1" scenarios="1" selectLockedCells="1" selectUnlockedCells="1"/>
  <autoFilter ref="B2:F47" xr:uid="{00000000-0001-0000-0100-000000000000}"/>
  <sortState xmlns:xlrd2="http://schemas.microsoft.com/office/spreadsheetml/2017/richdata2" ref="A37:F47">
    <sortCondition ref="B37:B47"/>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Y82"/>
  <sheetViews>
    <sheetView zoomScale="90" zoomScaleNormal="90" workbookViewId="0">
      <selection activeCell="A3" sqref="A3:XFD82"/>
    </sheetView>
  </sheetViews>
  <sheetFormatPr defaultRowHeight="15" x14ac:dyDescent="0.25"/>
  <cols>
    <col min="2" max="2" width="12.5703125" bestFit="1" customWidth="1"/>
    <col min="3" max="3" width="55.28515625" bestFit="1" customWidth="1"/>
    <col min="4" max="4" width="22.5703125" bestFit="1" customWidth="1"/>
    <col min="5" max="6" width="22.28515625" bestFit="1" customWidth="1"/>
    <col min="8" max="8" width="7.7109375" bestFit="1" customWidth="1"/>
    <col min="9" max="9" width="8.140625" bestFit="1" customWidth="1"/>
    <col min="10" max="10" width="10.28515625" bestFit="1" customWidth="1"/>
    <col min="11" max="11" width="11.85546875" bestFit="1" customWidth="1"/>
    <col min="12" max="15" width="9.28515625" bestFit="1" customWidth="1"/>
    <col min="16" max="16" width="6.85546875" bestFit="1" customWidth="1"/>
    <col min="17" max="21" width="7.7109375" bestFit="1" customWidth="1"/>
    <col min="22" max="22" width="6.85546875" bestFit="1" customWidth="1"/>
    <col min="23" max="23" width="7.7109375" bestFit="1" customWidth="1"/>
    <col min="24" max="25" width="9.140625" bestFit="1" customWidth="1"/>
  </cols>
  <sheetData>
    <row r="1" spans="2:25" x14ac:dyDescent="0.25">
      <c r="H1" t="s">
        <v>217</v>
      </c>
    </row>
    <row r="2" spans="2:25" x14ac:dyDescent="0.25">
      <c r="B2" s="3" t="s">
        <v>0</v>
      </c>
      <c r="C2" s="3" t="s">
        <v>94</v>
      </c>
      <c r="D2" s="3" t="s">
        <v>6</v>
      </c>
      <c r="E2" s="3" t="s">
        <v>7</v>
      </c>
      <c r="F2" s="3" t="s">
        <v>8</v>
      </c>
      <c r="H2" s="5" t="s">
        <v>151</v>
      </c>
      <c r="I2" s="5" t="s">
        <v>152</v>
      </c>
      <c r="J2" s="5" t="s">
        <v>9</v>
      </c>
      <c r="K2" s="5" t="s">
        <v>10</v>
      </c>
      <c r="L2" s="5" t="s">
        <v>153</v>
      </c>
      <c r="M2" s="5" t="s">
        <v>154</v>
      </c>
      <c r="N2" s="5" t="s">
        <v>155</v>
      </c>
      <c r="O2" s="5" t="s">
        <v>156</v>
      </c>
      <c r="P2" s="5" t="s">
        <v>157</v>
      </c>
      <c r="Q2" s="5" t="s">
        <v>158</v>
      </c>
      <c r="R2" s="5" t="s">
        <v>159</v>
      </c>
      <c r="S2" s="5" t="s">
        <v>160</v>
      </c>
      <c r="T2" s="5" t="s">
        <v>161</v>
      </c>
      <c r="U2" s="5" t="s">
        <v>162</v>
      </c>
      <c r="V2" s="5" t="s">
        <v>150</v>
      </c>
      <c r="W2" s="5" t="s">
        <v>163</v>
      </c>
      <c r="X2" s="5" t="s">
        <v>164</v>
      </c>
      <c r="Y2" s="5" t="s">
        <v>165</v>
      </c>
    </row>
    <row r="3" spans="2:25" s="66" customFormat="1" x14ac:dyDescent="0.25">
      <c r="B3" s="69" t="s">
        <v>5</v>
      </c>
      <c r="C3" s="69" t="s">
        <v>1</v>
      </c>
      <c r="D3" s="16">
        <v>0.94879999999999998</v>
      </c>
      <c r="E3" s="17">
        <v>0</v>
      </c>
      <c r="F3" s="69" t="s">
        <v>9</v>
      </c>
      <c r="H3" s="6">
        <v>0</v>
      </c>
      <c r="I3" s="6">
        <v>0</v>
      </c>
      <c r="J3" s="4">
        <v>0</v>
      </c>
      <c r="K3" s="4">
        <v>0</v>
      </c>
      <c r="L3" s="4">
        <v>0</v>
      </c>
      <c r="M3" s="4">
        <v>0</v>
      </c>
      <c r="N3" s="4">
        <v>0</v>
      </c>
      <c r="O3" s="4">
        <v>0</v>
      </c>
      <c r="P3" s="4">
        <v>0</v>
      </c>
      <c r="Q3" s="4">
        <v>0</v>
      </c>
      <c r="R3" s="4">
        <v>0</v>
      </c>
      <c r="S3" s="4">
        <v>0</v>
      </c>
      <c r="T3" s="4">
        <v>0</v>
      </c>
      <c r="U3" s="4">
        <v>0</v>
      </c>
      <c r="V3" s="4">
        <v>48.58</v>
      </c>
      <c r="W3" s="4">
        <v>0</v>
      </c>
      <c r="X3" s="4">
        <v>0</v>
      </c>
      <c r="Y3" s="4">
        <v>0</v>
      </c>
    </row>
    <row r="4" spans="2:25" s="66" customFormat="1" x14ac:dyDescent="0.25">
      <c r="B4" s="69" t="s">
        <v>14</v>
      </c>
      <c r="C4" s="69" t="s">
        <v>1</v>
      </c>
      <c r="D4" s="16">
        <v>0.94879999999999998</v>
      </c>
      <c r="E4" s="17">
        <v>0</v>
      </c>
      <c r="F4" s="69" t="s">
        <v>10</v>
      </c>
      <c r="H4" s="6">
        <v>1</v>
      </c>
      <c r="I4" s="6">
        <v>19</v>
      </c>
      <c r="J4" s="4">
        <v>48.58</v>
      </c>
      <c r="K4" s="4">
        <v>17.84</v>
      </c>
      <c r="L4" s="4">
        <v>48.58</v>
      </c>
      <c r="M4" s="4">
        <v>17.84</v>
      </c>
      <c r="N4" s="4">
        <v>48.58</v>
      </c>
      <c r="O4" s="4">
        <v>17.84</v>
      </c>
      <c r="P4" s="4">
        <f>L4*2</f>
        <v>97.16</v>
      </c>
      <c r="Q4" s="4">
        <f>L4*3</f>
        <v>145.74</v>
      </c>
      <c r="R4" s="4">
        <f>L4*4</f>
        <v>194.32</v>
      </c>
      <c r="S4" s="4">
        <f>L4*6</f>
        <v>291.48</v>
      </c>
      <c r="T4" s="4">
        <f>L4*10</f>
        <v>485.79999999999995</v>
      </c>
      <c r="U4" s="4">
        <f>L4*12</f>
        <v>582.96</v>
      </c>
      <c r="V4" s="4">
        <v>48.58</v>
      </c>
      <c r="W4" s="4">
        <f>N4*2</f>
        <v>97.16</v>
      </c>
      <c r="X4" s="4">
        <f>N4*12</f>
        <v>582.96</v>
      </c>
      <c r="Y4" s="4">
        <f>N4*67</f>
        <v>3254.8599999999997</v>
      </c>
    </row>
    <row r="5" spans="2:25" s="66" customFormat="1" x14ac:dyDescent="0.25">
      <c r="B5" s="69" t="s">
        <v>15</v>
      </c>
      <c r="C5" s="69" t="s">
        <v>1</v>
      </c>
      <c r="D5" s="16">
        <v>0.94879999999999998</v>
      </c>
      <c r="E5" s="17">
        <v>0</v>
      </c>
      <c r="F5" s="69" t="s">
        <v>9</v>
      </c>
      <c r="H5" s="6">
        <v>20</v>
      </c>
      <c r="I5" s="6">
        <v>24</v>
      </c>
      <c r="J5" s="4">
        <v>122.54</v>
      </c>
      <c r="K5" s="4">
        <v>50.15</v>
      </c>
      <c r="L5" s="4">
        <v>122.54</v>
      </c>
      <c r="M5" s="4">
        <v>50.15</v>
      </c>
      <c r="N5" s="4">
        <v>122.54</v>
      </c>
      <c r="O5" s="4">
        <v>50.15</v>
      </c>
      <c r="P5" s="4">
        <v>0</v>
      </c>
      <c r="Q5" s="4">
        <v>0</v>
      </c>
      <c r="R5" s="4">
        <v>0</v>
      </c>
      <c r="S5" s="4">
        <v>0</v>
      </c>
      <c r="T5" s="4">
        <v>0</v>
      </c>
      <c r="U5" s="4">
        <v>0</v>
      </c>
      <c r="V5" s="4">
        <v>48.58</v>
      </c>
      <c r="W5" s="4">
        <v>0</v>
      </c>
      <c r="X5" s="4">
        <v>0</v>
      </c>
      <c r="Y5" s="4">
        <v>0</v>
      </c>
    </row>
    <row r="6" spans="2:25" s="66" customFormat="1" x14ac:dyDescent="0.25">
      <c r="B6" s="69" t="s">
        <v>16</v>
      </c>
      <c r="C6" s="69" t="s">
        <v>1</v>
      </c>
      <c r="D6" s="16">
        <v>0.94879999999999998</v>
      </c>
      <c r="E6" s="17">
        <v>0</v>
      </c>
      <c r="F6" s="69" t="s">
        <v>10</v>
      </c>
      <c r="H6" s="6">
        <v>25</v>
      </c>
      <c r="I6" s="6">
        <v>29</v>
      </c>
      <c r="J6" s="4">
        <v>219.08</v>
      </c>
      <c r="K6" s="4">
        <v>89.8</v>
      </c>
      <c r="L6" s="4">
        <v>219.08</v>
      </c>
      <c r="M6" s="4">
        <v>89.8</v>
      </c>
      <c r="N6" s="4">
        <v>219.08</v>
      </c>
      <c r="O6" s="4">
        <v>89.8</v>
      </c>
      <c r="P6" s="4">
        <v>0</v>
      </c>
      <c r="Q6" s="4">
        <v>0</v>
      </c>
      <c r="R6" s="4">
        <v>0</v>
      </c>
      <c r="S6" s="4">
        <v>0</v>
      </c>
      <c r="T6" s="4">
        <v>0</v>
      </c>
      <c r="U6" s="4">
        <v>0</v>
      </c>
      <c r="V6" s="4">
        <v>48.58</v>
      </c>
      <c r="W6" s="4">
        <v>0</v>
      </c>
      <c r="X6" s="4">
        <v>0</v>
      </c>
      <c r="Y6" s="4">
        <v>0</v>
      </c>
    </row>
    <row r="7" spans="2:25" s="66" customFormat="1" x14ac:dyDescent="0.25">
      <c r="B7" s="69" t="s">
        <v>17</v>
      </c>
      <c r="C7" s="69" t="s">
        <v>1</v>
      </c>
      <c r="D7" s="16">
        <v>0.94879999999999998</v>
      </c>
      <c r="E7" s="17">
        <v>0</v>
      </c>
      <c r="F7" s="69" t="s">
        <v>9</v>
      </c>
      <c r="H7" s="6">
        <v>30</v>
      </c>
      <c r="I7" s="6">
        <v>39</v>
      </c>
      <c r="J7" s="4">
        <v>341.64</v>
      </c>
      <c r="K7" s="4">
        <v>139.96</v>
      </c>
      <c r="L7" s="4">
        <v>341.64</v>
      </c>
      <c r="M7" s="4">
        <v>139.96</v>
      </c>
      <c r="N7" s="4">
        <v>341.64</v>
      </c>
      <c r="O7" s="4">
        <v>139.96</v>
      </c>
      <c r="P7" s="4">
        <v>0</v>
      </c>
      <c r="Q7" s="4">
        <v>0</v>
      </c>
      <c r="R7" s="4">
        <v>0</v>
      </c>
      <c r="S7" s="4">
        <v>0</v>
      </c>
      <c r="T7" s="4">
        <v>0</v>
      </c>
      <c r="U7" s="4">
        <v>0</v>
      </c>
      <c r="V7" s="4">
        <v>48.58</v>
      </c>
      <c r="W7" s="4">
        <v>0</v>
      </c>
      <c r="X7" s="4">
        <v>0</v>
      </c>
      <c r="Y7" s="4">
        <v>0</v>
      </c>
    </row>
    <row r="8" spans="2:25" s="66" customFormat="1" x14ac:dyDescent="0.25">
      <c r="B8" s="69" t="s">
        <v>18</v>
      </c>
      <c r="C8" s="69" t="s">
        <v>1</v>
      </c>
      <c r="D8" s="16">
        <v>0.94879999999999998</v>
      </c>
      <c r="E8" s="17">
        <v>0</v>
      </c>
      <c r="F8" s="69" t="s">
        <v>10</v>
      </c>
      <c r="H8" s="6">
        <v>40</v>
      </c>
      <c r="I8" s="6">
        <v>49</v>
      </c>
      <c r="J8" s="4">
        <v>491.49</v>
      </c>
      <c r="K8" s="4">
        <v>200.6</v>
      </c>
      <c r="L8" s="4">
        <v>491.49</v>
      </c>
      <c r="M8" s="4">
        <v>200.6</v>
      </c>
      <c r="N8" s="4">
        <v>491.49</v>
      </c>
      <c r="O8" s="4">
        <v>200.6</v>
      </c>
      <c r="P8" s="4">
        <v>0</v>
      </c>
      <c r="Q8" s="4">
        <v>0</v>
      </c>
      <c r="R8" s="4">
        <v>0</v>
      </c>
      <c r="S8" s="4">
        <v>0</v>
      </c>
      <c r="T8" s="4">
        <v>0</v>
      </c>
      <c r="U8" s="4">
        <v>0</v>
      </c>
      <c r="V8" s="4">
        <v>48.58</v>
      </c>
      <c r="W8" s="4">
        <v>0</v>
      </c>
      <c r="X8" s="4">
        <v>0</v>
      </c>
      <c r="Y8" s="4">
        <v>0</v>
      </c>
    </row>
    <row r="9" spans="2:25" s="66" customFormat="1" x14ac:dyDescent="0.25">
      <c r="B9" s="69" t="s">
        <v>19</v>
      </c>
      <c r="C9" s="69" t="s">
        <v>1</v>
      </c>
      <c r="D9" s="16">
        <v>0.94879999999999998</v>
      </c>
      <c r="E9" s="17">
        <v>0</v>
      </c>
      <c r="F9" s="69" t="s">
        <v>9</v>
      </c>
      <c r="H9" s="6">
        <v>50</v>
      </c>
      <c r="I9" s="6">
        <v>64</v>
      </c>
      <c r="J9" s="4">
        <v>872.7</v>
      </c>
      <c r="K9" s="4">
        <v>356.89</v>
      </c>
      <c r="L9" s="4">
        <v>872.7</v>
      </c>
      <c r="M9" s="4">
        <v>356.89</v>
      </c>
      <c r="N9" s="4">
        <v>872.7</v>
      </c>
      <c r="O9" s="4">
        <v>356.89</v>
      </c>
      <c r="P9" s="4">
        <v>0</v>
      </c>
      <c r="Q9" s="4">
        <v>0</v>
      </c>
      <c r="R9" s="4">
        <v>0</v>
      </c>
      <c r="S9" s="4">
        <v>0</v>
      </c>
      <c r="T9" s="4">
        <v>0</v>
      </c>
      <c r="U9" s="4">
        <v>0</v>
      </c>
      <c r="V9" s="4">
        <v>48.58</v>
      </c>
      <c r="W9" s="4">
        <v>0</v>
      </c>
      <c r="X9" s="4">
        <v>0</v>
      </c>
      <c r="Y9" s="4">
        <v>0</v>
      </c>
    </row>
    <row r="10" spans="2:25" s="66" customFormat="1" x14ac:dyDescent="0.25">
      <c r="B10" s="69" t="s">
        <v>20</v>
      </c>
      <c r="C10" s="69" t="s">
        <v>1</v>
      </c>
      <c r="D10" s="16">
        <v>0.94879999999999998</v>
      </c>
      <c r="E10" s="17">
        <v>0</v>
      </c>
      <c r="F10" s="69" t="s">
        <v>10</v>
      </c>
      <c r="H10" s="6">
        <v>65</v>
      </c>
      <c r="I10" s="6">
        <v>74</v>
      </c>
      <c r="J10" s="4">
        <v>1365.34</v>
      </c>
      <c r="K10" s="4">
        <v>558.66999999999996</v>
      </c>
      <c r="L10" s="4">
        <v>1365.34</v>
      </c>
      <c r="M10" s="4">
        <v>558.66999999999996</v>
      </c>
      <c r="N10" s="4">
        <v>1365.34</v>
      </c>
      <c r="O10" s="4">
        <v>558.66999999999996</v>
      </c>
      <c r="P10" s="4">
        <v>0</v>
      </c>
      <c r="Q10" s="4">
        <v>0</v>
      </c>
      <c r="R10" s="4">
        <v>0</v>
      </c>
      <c r="S10" s="4">
        <v>0</v>
      </c>
      <c r="T10" s="4">
        <v>0</v>
      </c>
      <c r="U10" s="4">
        <v>0</v>
      </c>
      <c r="V10" s="4">
        <v>48.58</v>
      </c>
      <c r="W10" s="4">
        <v>0</v>
      </c>
      <c r="X10" s="4">
        <v>0</v>
      </c>
      <c r="Y10" s="4">
        <v>0</v>
      </c>
    </row>
    <row r="11" spans="2:25" s="66" customFormat="1" x14ac:dyDescent="0.25">
      <c r="B11" s="69" t="s">
        <v>21</v>
      </c>
      <c r="C11" s="69" t="s">
        <v>1</v>
      </c>
      <c r="D11" s="16">
        <v>0.94879999999999998</v>
      </c>
      <c r="E11" s="17">
        <v>0</v>
      </c>
      <c r="F11" s="69" t="s">
        <v>9</v>
      </c>
      <c r="H11" s="6">
        <v>75</v>
      </c>
      <c r="I11" s="6">
        <v>99</v>
      </c>
      <c r="J11" s="4">
        <v>1964.5</v>
      </c>
      <c r="K11" s="4">
        <v>803.6</v>
      </c>
      <c r="L11" s="4">
        <v>1964.5</v>
      </c>
      <c r="M11" s="4">
        <v>803.6</v>
      </c>
      <c r="N11" s="4">
        <v>1964.5</v>
      </c>
      <c r="O11" s="4">
        <v>803.6</v>
      </c>
      <c r="P11" s="4">
        <v>0</v>
      </c>
      <c r="Q11" s="4">
        <v>0</v>
      </c>
      <c r="R11" s="4">
        <v>0</v>
      </c>
      <c r="S11" s="4">
        <v>0</v>
      </c>
      <c r="T11" s="4">
        <v>0</v>
      </c>
      <c r="U11" s="4">
        <v>0</v>
      </c>
      <c r="V11" s="4">
        <v>48.58</v>
      </c>
      <c r="W11" s="4">
        <v>0</v>
      </c>
      <c r="X11" s="4">
        <v>0</v>
      </c>
      <c r="Y11" s="4">
        <v>0</v>
      </c>
    </row>
    <row r="12" spans="2:25" s="66" customFormat="1" x14ac:dyDescent="0.25">
      <c r="B12" s="69" t="s">
        <v>28</v>
      </c>
      <c r="C12" s="69" t="s">
        <v>1</v>
      </c>
      <c r="D12" s="16">
        <v>0.94879999999999998</v>
      </c>
      <c r="E12" s="17">
        <v>0</v>
      </c>
      <c r="F12" s="69" t="s">
        <v>10</v>
      </c>
      <c r="H12" s="6">
        <v>100</v>
      </c>
      <c r="I12" s="6">
        <v>124</v>
      </c>
      <c r="J12" s="4">
        <v>3493.28</v>
      </c>
      <c r="K12" s="4">
        <v>1428.73</v>
      </c>
      <c r="L12" s="4">
        <v>3493.28</v>
      </c>
      <c r="M12" s="4">
        <v>1428.73</v>
      </c>
      <c r="N12" s="4">
        <v>3493.28</v>
      </c>
      <c r="O12" s="4">
        <v>1428.73</v>
      </c>
      <c r="P12" s="4">
        <v>0</v>
      </c>
      <c r="Q12" s="4">
        <v>0</v>
      </c>
      <c r="R12" s="4">
        <v>0</v>
      </c>
      <c r="S12" s="4">
        <v>0</v>
      </c>
      <c r="T12" s="4">
        <v>0</v>
      </c>
      <c r="U12" s="4">
        <v>0</v>
      </c>
      <c r="V12" s="4">
        <v>48.58</v>
      </c>
      <c r="W12" s="4">
        <v>0</v>
      </c>
      <c r="X12" s="4">
        <v>0</v>
      </c>
      <c r="Y12" s="4">
        <v>0</v>
      </c>
    </row>
    <row r="13" spans="2:25" s="66" customFormat="1" x14ac:dyDescent="0.25">
      <c r="B13" s="69" t="s">
        <v>27</v>
      </c>
      <c r="C13" s="69" t="s">
        <v>1</v>
      </c>
      <c r="D13" s="16">
        <v>0.94879999999999998</v>
      </c>
      <c r="E13" s="17">
        <v>0</v>
      </c>
      <c r="F13" s="69" t="s">
        <v>9</v>
      </c>
      <c r="H13" s="6">
        <v>125</v>
      </c>
      <c r="I13" s="6">
        <v>149</v>
      </c>
      <c r="J13" s="4">
        <v>5457.8</v>
      </c>
      <c r="K13" s="4">
        <v>2232.35</v>
      </c>
      <c r="L13" s="4">
        <v>3493.28</v>
      </c>
      <c r="M13" s="4">
        <v>1428.73</v>
      </c>
      <c r="N13" s="4">
        <v>3493.28</v>
      </c>
      <c r="O13" s="4">
        <v>1428.73</v>
      </c>
      <c r="P13" s="4">
        <v>0</v>
      </c>
      <c r="Q13" s="4">
        <v>0</v>
      </c>
      <c r="R13" s="4">
        <v>0</v>
      </c>
      <c r="S13" s="4">
        <v>0</v>
      </c>
      <c r="T13" s="4">
        <v>0</v>
      </c>
      <c r="U13" s="4">
        <v>0</v>
      </c>
      <c r="V13" s="4">
        <v>48.58</v>
      </c>
      <c r="W13" s="4">
        <v>0</v>
      </c>
      <c r="X13" s="4">
        <v>0</v>
      </c>
      <c r="Y13" s="4">
        <v>0</v>
      </c>
    </row>
    <row r="14" spans="2:25" s="66" customFormat="1" x14ac:dyDescent="0.25">
      <c r="B14" s="69" t="s">
        <v>26</v>
      </c>
      <c r="C14" s="69" t="s">
        <v>1</v>
      </c>
      <c r="D14" s="16">
        <v>0.94879999999999998</v>
      </c>
      <c r="E14" s="17">
        <v>0</v>
      </c>
      <c r="F14" s="69" t="s">
        <v>10</v>
      </c>
      <c r="H14" s="6">
        <v>150</v>
      </c>
      <c r="I14" s="6">
        <v>199</v>
      </c>
      <c r="J14" s="4">
        <v>7859.28</v>
      </c>
      <c r="K14" s="4">
        <v>3214.36</v>
      </c>
      <c r="L14" s="4">
        <v>3493.28</v>
      </c>
      <c r="M14" s="4">
        <v>1428.73</v>
      </c>
      <c r="N14" s="4">
        <v>3493.28</v>
      </c>
      <c r="O14" s="4">
        <v>1428.73</v>
      </c>
      <c r="P14" s="4">
        <v>0</v>
      </c>
      <c r="Q14" s="4">
        <v>0</v>
      </c>
      <c r="R14" s="4">
        <v>0</v>
      </c>
      <c r="S14" s="4">
        <v>0</v>
      </c>
      <c r="T14" s="4">
        <v>0</v>
      </c>
      <c r="U14" s="4">
        <v>0</v>
      </c>
      <c r="V14" s="4">
        <v>48.58</v>
      </c>
      <c r="W14" s="4">
        <v>0</v>
      </c>
      <c r="X14" s="4">
        <v>0</v>
      </c>
      <c r="Y14" s="4">
        <v>0</v>
      </c>
    </row>
    <row r="15" spans="2:25" s="66" customFormat="1" x14ac:dyDescent="0.25">
      <c r="B15" s="69" t="s">
        <v>25</v>
      </c>
      <c r="C15" s="69" t="s">
        <v>1</v>
      </c>
      <c r="D15" s="16">
        <v>0.75900000000000001</v>
      </c>
      <c r="E15" s="17">
        <v>18976</v>
      </c>
      <c r="F15" s="69" t="s">
        <v>9</v>
      </c>
      <c r="H15" s="6">
        <v>200</v>
      </c>
      <c r="I15" s="6">
        <v>249</v>
      </c>
      <c r="J15" s="4">
        <v>13971.85</v>
      </c>
      <c r="K15" s="4">
        <v>5714.96</v>
      </c>
      <c r="L15" s="4">
        <v>3493.28</v>
      </c>
      <c r="M15" s="4">
        <v>1428.73</v>
      </c>
      <c r="N15" s="4">
        <v>3493.28</v>
      </c>
      <c r="O15" s="4">
        <v>1428.73</v>
      </c>
      <c r="P15" s="4">
        <v>0</v>
      </c>
      <c r="Q15" s="4">
        <v>0</v>
      </c>
      <c r="R15" s="4">
        <v>0</v>
      </c>
      <c r="S15" s="4">
        <v>0</v>
      </c>
      <c r="T15" s="4">
        <v>0</v>
      </c>
      <c r="U15" s="4">
        <v>0</v>
      </c>
      <c r="V15" s="4">
        <v>48.58</v>
      </c>
      <c r="W15" s="4">
        <v>0</v>
      </c>
      <c r="X15" s="4">
        <v>0</v>
      </c>
      <c r="Y15" s="4">
        <v>0</v>
      </c>
    </row>
    <row r="16" spans="2:25" s="66" customFormat="1" x14ac:dyDescent="0.25">
      <c r="B16" s="69" t="s">
        <v>24</v>
      </c>
      <c r="C16" s="69" t="s">
        <v>1</v>
      </c>
      <c r="D16" s="16">
        <v>0.75900000000000001</v>
      </c>
      <c r="E16" s="17">
        <v>18976</v>
      </c>
      <c r="F16" s="69" t="s">
        <v>10</v>
      </c>
      <c r="H16" s="6">
        <v>250</v>
      </c>
      <c r="I16" s="6">
        <v>299</v>
      </c>
      <c r="J16" s="4">
        <v>21829.84</v>
      </c>
      <c r="K16" s="4">
        <v>8929.33</v>
      </c>
      <c r="L16" s="4">
        <v>3493.28</v>
      </c>
      <c r="M16" s="4">
        <v>1428.73</v>
      </c>
      <c r="N16" s="4">
        <v>3493.28</v>
      </c>
      <c r="O16" s="4">
        <v>1428.73</v>
      </c>
      <c r="P16" s="4">
        <v>0</v>
      </c>
      <c r="Q16" s="4">
        <v>0</v>
      </c>
      <c r="R16" s="4">
        <v>0</v>
      </c>
      <c r="S16" s="4">
        <v>0</v>
      </c>
      <c r="T16" s="4">
        <v>0</v>
      </c>
      <c r="U16" s="4">
        <v>0</v>
      </c>
      <c r="V16" s="4">
        <v>48.58</v>
      </c>
      <c r="W16" s="4">
        <v>0</v>
      </c>
      <c r="X16" s="4">
        <v>0</v>
      </c>
      <c r="Y16" s="4">
        <v>0</v>
      </c>
    </row>
    <row r="17" spans="2:25" s="66" customFormat="1" x14ac:dyDescent="0.25">
      <c r="B17" s="69" t="s">
        <v>32</v>
      </c>
      <c r="C17" s="69" t="s">
        <v>1</v>
      </c>
      <c r="D17" s="16">
        <v>0.75900000000000001</v>
      </c>
      <c r="E17" s="17">
        <v>0</v>
      </c>
      <c r="F17" s="69" t="s">
        <v>9</v>
      </c>
      <c r="H17" s="6">
        <v>300</v>
      </c>
      <c r="I17" s="6" t="s">
        <v>13</v>
      </c>
      <c r="J17" s="4">
        <v>31435.66</v>
      </c>
      <c r="K17" s="4">
        <v>12858.63</v>
      </c>
      <c r="L17" s="4">
        <v>3493.28</v>
      </c>
      <c r="M17" s="4">
        <v>1428.73</v>
      </c>
      <c r="N17" s="4">
        <v>3493.28</v>
      </c>
      <c r="O17" s="4">
        <v>1428.73</v>
      </c>
      <c r="P17" s="4">
        <v>0</v>
      </c>
      <c r="Q17" s="4">
        <v>0</v>
      </c>
      <c r="R17" s="4">
        <v>0</v>
      </c>
      <c r="S17" s="4">
        <v>0</v>
      </c>
      <c r="T17" s="4">
        <v>0</v>
      </c>
      <c r="U17" s="4">
        <v>0</v>
      </c>
      <c r="V17" s="4">
        <v>48.58</v>
      </c>
      <c r="W17" s="4">
        <v>0</v>
      </c>
      <c r="X17" s="4">
        <v>0</v>
      </c>
      <c r="Y17" s="4">
        <v>0</v>
      </c>
    </row>
    <row r="18" spans="2:25" s="66" customFormat="1" x14ac:dyDescent="0.25">
      <c r="B18" s="69" t="s">
        <v>33</v>
      </c>
      <c r="C18" s="69" t="s">
        <v>1</v>
      </c>
      <c r="D18" s="16">
        <v>0.75900000000000001</v>
      </c>
      <c r="E18" s="17">
        <v>0</v>
      </c>
      <c r="F18" s="69" t="s">
        <v>10</v>
      </c>
      <c r="H18" s="66" t="s">
        <v>218</v>
      </c>
    </row>
    <row r="19" spans="2:25" s="66" customFormat="1" x14ac:dyDescent="0.25">
      <c r="B19" s="69" t="s">
        <v>23</v>
      </c>
      <c r="C19" s="69" t="s">
        <v>1</v>
      </c>
      <c r="D19" s="16">
        <v>0.75900000000000001</v>
      </c>
      <c r="E19" s="17">
        <v>18976</v>
      </c>
      <c r="F19" s="69" t="s">
        <v>9</v>
      </c>
      <c r="H19" s="70" t="s">
        <v>166</v>
      </c>
      <c r="I19" s="70" t="s">
        <v>103</v>
      </c>
    </row>
    <row r="20" spans="2:25" s="66" customFormat="1" x14ac:dyDescent="0.25">
      <c r="B20" s="69" t="s">
        <v>22</v>
      </c>
      <c r="C20" s="69" t="s">
        <v>1</v>
      </c>
      <c r="D20" s="16">
        <v>0.75900000000000001</v>
      </c>
      <c r="E20" s="17">
        <v>18976</v>
      </c>
      <c r="F20" s="69" t="s">
        <v>10</v>
      </c>
      <c r="H20" s="6" t="s">
        <v>104</v>
      </c>
      <c r="I20" s="6">
        <v>7.75</v>
      </c>
    </row>
    <row r="21" spans="2:25" s="66" customFormat="1" x14ac:dyDescent="0.25">
      <c r="B21" s="69" t="s">
        <v>34</v>
      </c>
      <c r="C21" s="69" t="s">
        <v>1</v>
      </c>
      <c r="D21" s="16">
        <v>0.75900000000000001</v>
      </c>
      <c r="E21" s="17">
        <v>0</v>
      </c>
      <c r="F21" s="69" t="s">
        <v>9</v>
      </c>
    </row>
    <row r="22" spans="2:25" s="66" customFormat="1" x14ac:dyDescent="0.25">
      <c r="B22" s="69" t="s">
        <v>35</v>
      </c>
      <c r="C22" s="69" t="s">
        <v>1</v>
      </c>
      <c r="D22" s="16">
        <v>0.75900000000000001</v>
      </c>
      <c r="E22" s="17">
        <v>0</v>
      </c>
      <c r="F22" s="69" t="s">
        <v>10</v>
      </c>
    </row>
    <row r="23" spans="2:25" s="66" customFormat="1" x14ac:dyDescent="0.25">
      <c r="B23" s="2" t="s">
        <v>174</v>
      </c>
      <c r="C23" s="69" t="s">
        <v>1</v>
      </c>
      <c r="D23" s="16">
        <v>0</v>
      </c>
      <c r="E23" s="17">
        <v>0</v>
      </c>
      <c r="F23" s="69" t="s">
        <v>12</v>
      </c>
    </row>
    <row r="24" spans="2:25" s="66" customFormat="1" x14ac:dyDescent="0.25">
      <c r="B24" s="7" t="s">
        <v>123</v>
      </c>
      <c r="C24" s="69" t="s">
        <v>1</v>
      </c>
      <c r="D24" s="16">
        <v>0.60299999999999998</v>
      </c>
      <c r="E24" s="17">
        <v>18976</v>
      </c>
      <c r="F24" s="69" t="s">
        <v>10</v>
      </c>
    </row>
    <row r="25" spans="2:25" s="66" customFormat="1" x14ac:dyDescent="0.25">
      <c r="B25" s="7" t="s">
        <v>124</v>
      </c>
      <c r="C25" s="69" t="s">
        <v>1</v>
      </c>
      <c r="D25" s="16">
        <v>0.62619999999999998</v>
      </c>
      <c r="E25" s="17">
        <v>18976</v>
      </c>
      <c r="F25" s="69" t="s">
        <v>10</v>
      </c>
    </row>
    <row r="26" spans="2:25" s="66" customFormat="1" x14ac:dyDescent="0.25">
      <c r="B26" s="2" t="s">
        <v>109</v>
      </c>
      <c r="C26" s="8" t="s">
        <v>95</v>
      </c>
      <c r="D26" s="16">
        <v>0.94879999999999998</v>
      </c>
      <c r="E26" s="17">
        <v>0</v>
      </c>
      <c r="F26" s="69" t="s">
        <v>154</v>
      </c>
    </row>
    <row r="27" spans="2:25" s="66" customFormat="1" x14ac:dyDescent="0.25">
      <c r="B27" s="2" t="s">
        <v>110</v>
      </c>
      <c r="C27" s="8" t="s">
        <v>95</v>
      </c>
      <c r="D27" s="16">
        <v>0.94879999999999998</v>
      </c>
      <c r="E27" s="17">
        <v>0</v>
      </c>
      <c r="F27" s="69" t="s">
        <v>153</v>
      </c>
    </row>
    <row r="28" spans="2:25" s="66" customFormat="1" x14ac:dyDescent="0.25">
      <c r="B28" s="2" t="s">
        <v>111</v>
      </c>
      <c r="C28" s="8" t="s">
        <v>95</v>
      </c>
      <c r="D28" s="16">
        <v>0.94879999999999998</v>
      </c>
      <c r="E28" s="17">
        <v>0</v>
      </c>
      <c r="F28" s="69" t="s">
        <v>154</v>
      </c>
    </row>
    <row r="29" spans="2:25" s="66" customFormat="1" x14ac:dyDescent="0.25">
      <c r="B29" s="2" t="s">
        <v>112</v>
      </c>
      <c r="C29" s="8" t="s">
        <v>95</v>
      </c>
      <c r="D29" s="16">
        <v>0.94879999999999998</v>
      </c>
      <c r="E29" s="17">
        <v>0</v>
      </c>
      <c r="F29" s="69" t="s">
        <v>153</v>
      </c>
    </row>
    <row r="30" spans="2:25" s="66" customFormat="1" x14ac:dyDescent="0.25">
      <c r="B30" s="2" t="s">
        <v>113</v>
      </c>
      <c r="C30" s="8" t="s">
        <v>95</v>
      </c>
      <c r="D30" s="16">
        <v>0.94879999999999998</v>
      </c>
      <c r="E30" s="17">
        <v>0</v>
      </c>
      <c r="F30" s="69" t="s">
        <v>154</v>
      </c>
    </row>
    <row r="31" spans="2:25" s="66" customFormat="1" x14ac:dyDescent="0.25">
      <c r="B31" s="2" t="s">
        <v>114</v>
      </c>
      <c r="C31" s="8" t="s">
        <v>95</v>
      </c>
      <c r="D31" s="16">
        <v>0.94879999999999998</v>
      </c>
      <c r="E31" s="17">
        <v>0</v>
      </c>
      <c r="F31" s="69" t="s">
        <v>153</v>
      </c>
    </row>
    <row r="32" spans="2:25" s="66" customFormat="1" x14ac:dyDescent="0.25">
      <c r="B32" s="2" t="s">
        <v>115</v>
      </c>
      <c r="C32" s="8" t="s">
        <v>95</v>
      </c>
      <c r="D32" s="16">
        <v>0.94879999999999998</v>
      </c>
      <c r="E32" s="17">
        <v>0</v>
      </c>
      <c r="F32" s="69" t="s">
        <v>154</v>
      </c>
    </row>
    <row r="33" spans="2:12" s="66" customFormat="1" x14ac:dyDescent="0.25">
      <c r="B33" s="2" t="s">
        <v>116</v>
      </c>
      <c r="C33" s="8" t="s">
        <v>95</v>
      </c>
      <c r="D33" s="16">
        <v>0.94879999999999998</v>
      </c>
      <c r="E33" s="17">
        <v>0</v>
      </c>
      <c r="F33" s="69" t="s">
        <v>153</v>
      </c>
    </row>
    <row r="34" spans="2:12" s="66" customFormat="1" x14ac:dyDescent="0.25">
      <c r="B34" s="2" t="s">
        <v>117</v>
      </c>
      <c r="C34" s="8" t="s">
        <v>95</v>
      </c>
      <c r="D34" s="16">
        <v>0.94879999999999998</v>
      </c>
      <c r="E34" s="17">
        <v>0</v>
      </c>
      <c r="F34" s="69" t="s">
        <v>157</v>
      </c>
    </row>
    <row r="35" spans="2:12" s="66" customFormat="1" x14ac:dyDescent="0.25">
      <c r="B35" s="2" t="s">
        <v>118</v>
      </c>
      <c r="C35" s="8" t="s">
        <v>95</v>
      </c>
      <c r="D35" s="16">
        <v>0.94879999999999998</v>
      </c>
      <c r="E35" s="17">
        <v>0</v>
      </c>
      <c r="F35" s="69" t="s">
        <v>158</v>
      </c>
    </row>
    <row r="36" spans="2:12" s="66" customFormat="1" x14ac:dyDescent="0.25">
      <c r="B36" s="2" t="s">
        <v>119</v>
      </c>
      <c r="C36" s="8" t="s">
        <v>95</v>
      </c>
      <c r="D36" s="16">
        <v>0.94879999999999998</v>
      </c>
      <c r="E36" s="17">
        <v>0</v>
      </c>
      <c r="F36" s="69" t="s">
        <v>159</v>
      </c>
    </row>
    <row r="37" spans="2:12" s="66" customFormat="1" x14ac:dyDescent="0.25">
      <c r="B37" s="2" t="s">
        <v>120</v>
      </c>
      <c r="C37" s="8" t="s">
        <v>95</v>
      </c>
      <c r="D37" s="16">
        <v>0.94879999999999998</v>
      </c>
      <c r="E37" s="17">
        <v>0</v>
      </c>
      <c r="F37" s="69" t="s">
        <v>160</v>
      </c>
    </row>
    <row r="38" spans="2:12" s="66" customFormat="1" x14ac:dyDescent="0.25">
      <c r="B38" s="2" t="s">
        <v>121</v>
      </c>
      <c r="C38" s="8" t="s">
        <v>95</v>
      </c>
      <c r="D38" s="16">
        <v>0.94879999999999998</v>
      </c>
      <c r="E38" s="17">
        <v>0</v>
      </c>
      <c r="F38" s="69" t="s">
        <v>161</v>
      </c>
    </row>
    <row r="39" spans="2:12" s="66" customFormat="1" x14ac:dyDescent="0.25">
      <c r="B39" s="2" t="s">
        <v>122</v>
      </c>
      <c r="C39" s="8" t="s">
        <v>95</v>
      </c>
      <c r="D39" s="16">
        <v>0.94879999999999998</v>
      </c>
      <c r="E39" s="17">
        <v>0</v>
      </c>
      <c r="F39" s="69" t="s">
        <v>162</v>
      </c>
    </row>
    <row r="40" spans="2:12" s="66" customFormat="1" x14ac:dyDescent="0.25">
      <c r="B40" s="2" t="s">
        <v>11</v>
      </c>
      <c r="C40" s="8" t="s">
        <v>95</v>
      </c>
      <c r="D40" s="16">
        <v>0</v>
      </c>
      <c r="E40" s="17">
        <v>0</v>
      </c>
      <c r="F40" s="69" t="s">
        <v>12</v>
      </c>
      <c r="G40" s="16"/>
    </row>
    <row r="41" spans="2:12" s="66" customFormat="1" x14ac:dyDescent="0.25">
      <c r="B41" s="7" t="s">
        <v>130</v>
      </c>
      <c r="C41" s="8" t="s">
        <v>219</v>
      </c>
      <c r="D41" s="16">
        <v>0.62470000000000003</v>
      </c>
      <c r="E41" s="17">
        <v>0</v>
      </c>
      <c r="F41" s="69" t="s">
        <v>156</v>
      </c>
      <c r="I41" s="69"/>
      <c r="J41" s="16"/>
      <c r="K41" s="17"/>
      <c r="L41" s="69"/>
    </row>
    <row r="42" spans="2:12" s="66" customFormat="1" x14ac:dyDescent="0.25">
      <c r="B42" s="7" t="s">
        <v>131</v>
      </c>
      <c r="C42" s="8" t="s">
        <v>219</v>
      </c>
      <c r="D42" s="16">
        <v>0.62470000000000003</v>
      </c>
      <c r="E42" s="17">
        <v>0</v>
      </c>
      <c r="F42" s="69" t="s">
        <v>155</v>
      </c>
      <c r="H42" s="17"/>
      <c r="I42" s="69"/>
    </row>
    <row r="43" spans="2:12" s="66" customFormat="1" x14ac:dyDescent="0.25">
      <c r="B43" s="7" t="s">
        <v>132</v>
      </c>
      <c r="C43" s="8" t="s">
        <v>219</v>
      </c>
      <c r="D43" s="16">
        <v>0.64739999999999998</v>
      </c>
      <c r="E43" s="17">
        <v>0</v>
      </c>
      <c r="F43" s="69" t="s">
        <v>156</v>
      </c>
      <c r="H43" s="17"/>
      <c r="I43" s="69"/>
    </row>
    <row r="44" spans="2:12" s="66" customFormat="1" x14ac:dyDescent="0.25">
      <c r="B44" s="7" t="s">
        <v>133</v>
      </c>
      <c r="C44" s="8" t="s">
        <v>219</v>
      </c>
      <c r="D44" s="16">
        <v>0.64739999999999998</v>
      </c>
      <c r="E44" s="17">
        <v>0</v>
      </c>
      <c r="F44" s="69" t="s">
        <v>155</v>
      </c>
      <c r="H44" s="17"/>
      <c r="I44" s="69"/>
    </row>
    <row r="45" spans="2:12" s="66" customFormat="1" x14ac:dyDescent="0.25">
      <c r="B45" s="7" t="s">
        <v>134</v>
      </c>
      <c r="C45" s="8" t="s">
        <v>219</v>
      </c>
      <c r="D45" s="16">
        <v>0.40649999999999997</v>
      </c>
      <c r="E45" s="17">
        <v>0</v>
      </c>
      <c r="F45" s="69" t="s">
        <v>156</v>
      </c>
      <c r="H45" s="17"/>
      <c r="I45" s="69"/>
    </row>
    <row r="46" spans="2:12" s="66" customFormat="1" x14ac:dyDescent="0.25">
      <c r="B46" s="7" t="s">
        <v>135</v>
      </c>
      <c r="C46" s="8" t="s">
        <v>219</v>
      </c>
      <c r="D46" s="16">
        <v>0.40649999999999997</v>
      </c>
      <c r="E46" s="17">
        <v>0</v>
      </c>
      <c r="F46" s="69" t="s">
        <v>155</v>
      </c>
      <c r="H46" s="17"/>
      <c r="I46" s="69"/>
    </row>
    <row r="47" spans="2:12" s="66" customFormat="1" x14ac:dyDescent="0.25">
      <c r="B47" s="7" t="s">
        <v>136</v>
      </c>
      <c r="C47" s="8" t="s">
        <v>219</v>
      </c>
      <c r="D47" s="16">
        <v>0.58379999999999999</v>
      </c>
      <c r="E47" s="17">
        <v>0</v>
      </c>
      <c r="F47" s="69" t="s">
        <v>156</v>
      </c>
      <c r="H47" s="17"/>
      <c r="I47" s="69"/>
    </row>
    <row r="48" spans="2:12" s="66" customFormat="1" x14ac:dyDescent="0.25">
      <c r="B48" s="7" t="s">
        <v>137</v>
      </c>
      <c r="C48" s="8" t="s">
        <v>219</v>
      </c>
      <c r="D48" s="16">
        <v>0.58379999999999999</v>
      </c>
      <c r="E48" s="17">
        <v>0</v>
      </c>
      <c r="F48" s="69" t="s">
        <v>155</v>
      </c>
      <c r="H48" s="17"/>
      <c r="I48" s="69"/>
    </row>
    <row r="49" spans="2:9" s="66" customFormat="1" x14ac:dyDescent="0.25">
      <c r="B49" s="7" t="s">
        <v>138</v>
      </c>
      <c r="C49" s="8" t="s">
        <v>219</v>
      </c>
      <c r="D49" s="16">
        <v>0.58379999999999999</v>
      </c>
      <c r="E49" s="17">
        <v>0</v>
      </c>
      <c r="F49" s="69" t="s">
        <v>164</v>
      </c>
      <c r="H49" s="17"/>
      <c r="I49" s="69"/>
    </row>
    <row r="50" spans="2:9" s="66" customFormat="1" x14ac:dyDescent="0.25">
      <c r="B50" s="7" t="s">
        <v>139</v>
      </c>
      <c r="C50" s="8" t="s">
        <v>219</v>
      </c>
      <c r="D50" s="16">
        <v>0.76539999999999997</v>
      </c>
      <c r="E50" s="17">
        <v>0</v>
      </c>
      <c r="F50" s="69" t="s">
        <v>156</v>
      </c>
      <c r="H50" s="17"/>
      <c r="I50" s="69"/>
    </row>
    <row r="51" spans="2:9" s="66" customFormat="1" x14ac:dyDescent="0.25">
      <c r="B51" s="7" t="s">
        <v>140</v>
      </c>
      <c r="C51" s="8" t="s">
        <v>219</v>
      </c>
      <c r="D51" s="16">
        <v>0.76539999999999997</v>
      </c>
      <c r="E51" s="17">
        <v>0</v>
      </c>
      <c r="F51" s="69" t="s">
        <v>155</v>
      </c>
      <c r="H51" s="17"/>
      <c r="I51" s="69"/>
    </row>
    <row r="52" spans="2:9" s="66" customFormat="1" x14ac:dyDescent="0.25">
      <c r="B52" s="7" t="s">
        <v>141</v>
      </c>
      <c r="C52" s="8" t="s">
        <v>219</v>
      </c>
      <c r="D52" s="16">
        <v>0.76539999999999997</v>
      </c>
      <c r="E52" s="17">
        <v>0</v>
      </c>
      <c r="F52" s="69" t="s">
        <v>165</v>
      </c>
    </row>
    <row r="53" spans="2:9" s="66" customFormat="1" x14ac:dyDescent="0.25">
      <c r="B53" s="7" t="s">
        <v>142</v>
      </c>
      <c r="C53" s="8" t="s">
        <v>219</v>
      </c>
      <c r="D53" s="16">
        <v>0.63329999999999997</v>
      </c>
      <c r="E53" s="17">
        <v>0</v>
      </c>
      <c r="F53" s="69" t="s">
        <v>156</v>
      </c>
    </row>
    <row r="54" spans="2:9" s="66" customFormat="1" x14ac:dyDescent="0.25">
      <c r="B54" s="7" t="s">
        <v>143</v>
      </c>
      <c r="C54" s="8" t="s">
        <v>219</v>
      </c>
      <c r="D54" s="16">
        <v>0.63329999999999997</v>
      </c>
      <c r="E54" s="17">
        <v>0</v>
      </c>
      <c r="F54" s="69" t="s">
        <v>155</v>
      </c>
    </row>
    <row r="55" spans="2:9" s="66" customFormat="1" x14ac:dyDescent="0.25">
      <c r="B55" s="7" t="s">
        <v>144</v>
      </c>
      <c r="C55" s="8" t="s">
        <v>219</v>
      </c>
      <c r="D55" s="16">
        <v>0.63329999999999997</v>
      </c>
      <c r="E55" s="17">
        <v>0</v>
      </c>
      <c r="F55" s="69" t="s">
        <v>163</v>
      </c>
    </row>
    <row r="56" spans="2:9" s="66" customFormat="1" x14ac:dyDescent="0.25">
      <c r="B56" s="7" t="s">
        <v>145</v>
      </c>
      <c r="C56" s="8" t="s">
        <v>219</v>
      </c>
      <c r="D56" s="16">
        <v>0.8901</v>
      </c>
      <c r="E56" s="17">
        <v>0</v>
      </c>
      <c r="F56" s="69" t="s">
        <v>156</v>
      </c>
    </row>
    <row r="57" spans="2:9" s="66" customFormat="1" x14ac:dyDescent="0.25">
      <c r="B57" s="7" t="s">
        <v>93</v>
      </c>
      <c r="C57" s="8" t="s">
        <v>219</v>
      </c>
      <c r="D57" s="16">
        <v>0.8901</v>
      </c>
      <c r="E57" s="17">
        <v>0</v>
      </c>
      <c r="F57" s="69" t="s">
        <v>155</v>
      </c>
    </row>
    <row r="58" spans="2:9" s="66" customFormat="1" x14ac:dyDescent="0.25">
      <c r="B58" s="7" t="s">
        <v>146</v>
      </c>
      <c r="C58" s="8" t="s">
        <v>219</v>
      </c>
      <c r="D58" s="16">
        <v>0.8901</v>
      </c>
      <c r="E58" s="17">
        <v>0</v>
      </c>
      <c r="F58" s="69" t="s">
        <v>163</v>
      </c>
    </row>
    <row r="59" spans="2:9" s="66" customFormat="1" x14ac:dyDescent="0.25">
      <c r="B59" s="7" t="s">
        <v>147</v>
      </c>
      <c r="C59" s="8" t="s">
        <v>219</v>
      </c>
      <c r="D59" s="16">
        <v>0</v>
      </c>
      <c r="E59" s="17">
        <v>0</v>
      </c>
      <c r="F59" s="69" t="s">
        <v>150</v>
      </c>
    </row>
    <row r="60" spans="2:9" s="66" customFormat="1" x14ac:dyDescent="0.25">
      <c r="B60" s="7" t="s">
        <v>148</v>
      </c>
      <c r="C60" s="8" t="s">
        <v>219</v>
      </c>
      <c r="D60" s="16">
        <v>0</v>
      </c>
      <c r="E60" s="17">
        <v>0</v>
      </c>
      <c r="F60" s="66" t="s">
        <v>12</v>
      </c>
    </row>
    <row r="61" spans="2:9" s="66" customFormat="1" ht="13.15" customHeight="1" x14ac:dyDescent="0.25">
      <c r="B61" s="7" t="s">
        <v>149</v>
      </c>
      <c r="C61" s="8" t="s">
        <v>219</v>
      </c>
      <c r="D61" s="16">
        <v>0</v>
      </c>
      <c r="E61" s="17">
        <v>0</v>
      </c>
      <c r="F61" s="66" t="s">
        <v>12</v>
      </c>
    </row>
    <row r="62" spans="2:9" s="66" customFormat="1" x14ac:dyDescent="0.25">
      <c r="B62" s="66" t="s">
        <v>186</v>
      </c>
      <c r="C62" s="8" t="s">
        <v>219</v>
      </c>
      <c r="D62" s="16">
        <v>0.62470000000000003</v>
      </c>
      <c r="E62" s="17">
        <v>0</v>
      </c>
      <c r="F62" s="69" t="s">
        <v>156</v>
      </c>
    </row>
    <row r="63" spans="2:9" s="66" customFormat="1" x14ac:dyDescent="0.25">
      <c r="B63" s="66" t="s">
        <v>187</v>
      </c>
      <c r="C63" s="8" t="s">
        <v>219</v>
      </c>
      <c r="D63" s="16">
        <v>0.62470000000000003</v>
      </c>
      <c r="E63" s="17">
        <v>0</v>
      </c>
      <c r="F63" s="69" t="s">
        <v>155</v>
      </c>
    </row>
    <row r="64" spans="2:9" s="66" customFormat="1" x14ac:dyDescent="0.25">
      <c r="B64" s="66" t="s">
        <v>188</v>
      </c>
      <c r="C64" s="8" t="s">
        <v>219</v>
      </c>
      <c r="D64" s="16">
        <v>0.64739999999999998</v>
      </c>
      <c r="E64" s="17">
        <v>0</v>
      </c>
      <c r="F64" s="69" t="s">
        <v>156</v>
      </c>
    </row>
    <row r="65" spans="2:6" s="66" customFormat="1" x14ac:dyDescent="0.25">
      <c r="B65" s="66" t="s">
        <v>189</v>
      </c>
      <c r="C65" s="8" t="s">
        <v>219</v>
      </c>
      <c r="D65" s="16">
        <v>0.64739999999999998</v>
      </c>
      <c r="E65" s="17">
        <v>0</v>
      </c>
      <c r="F65" s="69" t="s">
        <v>155</v>
      </c>
    </row>
    <row r="66" spans="2:6" s="66" customFormat="1" x14ac:dyDescent="0.25">
      <c r="B66" s="66" t="s">
        <v>190</v>
      </c>
      <c r="C66" s="8" t="s">
        <v>219</v>
      </c>
      <c r="D66" s="16">
        <v>0.40649999999999997</v>
      </c>
      <c r="E66" s="17">
        <v>0</v>
      </c>
      <c r="F66" s="69" t="s">
        <v>156</v>
      </c>
    </row>
    <row r="67" spans="2:6" s="66" customFormat="1" x14ac:dyDescent="0.25">
      <c r="B67" s="66" t="s">
        <v>191</v>
      </c>
      <c r="C67" s="8" t="s">
        <v>219</v>
      </c>
      <c r="D67" s="16">
        <v>0.40649999999999997</v>
      </c>
      <c r="E67" s="17">
        <v>0</v>
      </c>
      <c r="F67" s="69" t="s">
        <v>155</v>
      </c>
    </row>
    <row r="68" spans="2:6" s="66" customFormat="1" x14ac:dyDescent="0.25">
      <c r="B68" s="66" t="s">
        <v>192</v>
      </c>
      <c r="C68" s="8" t="s">
        <v>219</v>
      </c>
      <c r="D68" s="16">
        <v>0.58379999999999999</v>
      </c>
      <c r="E68" s="17">
        <v>0</v>
      </c>
      <c r="F68" s="69" t="s">
        <v>156</v>
      </c>
    </row>
    <row r="69" spans="2:6" s="66" customFormat="1" x14ac:dyDescent="0.25">
      <c r="B69" s="66" t="s">
        <v>193</v>
      </c>
      <c r="C69" s="8" t="s">
        <v>219</v>
      </c>
      <c r="D69" s="16">
        <v>0.58379999999999999</v>
      </c>
      <c r="E69" s="17">
        <v>0</v>
      </c>
      <c r="F69" s="69" t="s">
        <v>155</v>
      </c>
    </row>
    <row r="70" spans="2:6" s="66" customFormat="1" x14ac:dyDescent="0.25">
      <c r="B70" s="66" t="s">
        <v>194</v>
      </c>
      <c r="C70" s="8" t="s">
        <v>219</v>
      </c>
      <c r="D70" s="16">
        <v>0.58379999999999999</v>
      </c>
      <c r="E70" s="17">
        <v>0</v>
      </c>
      <c r="F70" s="69" t="s">
        <v>164</v>
      </c>
    </row>
    <row r="71" spans="2:6" s="66" customFormat="1" x14ac:dyDescent="0.25">
      <c r="B71" s="66" t="s">
        <v>195</v>
      </c>
      <c r="C71" s="8" t="s">
        <v>219</v>
      </c>
      <c r="D71" s="16">
        <v>0.76539999999999997</v>
      </c>
      <c r="E71" s="17">
        <v>0</v>
      </c>
      <c r="F71" s="69" t="s">
        <v>156</v>
      </c>
    </row>
    <row r="72" spans="2:6" s="66" customFormat="1" x14ac:dyDescent="0.25">
      <c r="B72" s="66" t="s">
        <v>196</v>
      </c>
      <c r="C72" s="8" t="s">
        <v>219</v>
      </c>
      <c r="D72" s="16">
        <v>0.76539999999999997</v>
      </c>
      <c r="E72" s="17">
        <v>0</v>
      </c>
      <c r="F72" s="69" t="s">
        <v>155</v>
      </c>
    </row>
    <row r="73" spans="2:6" s="66" customFormat="1" x14ac:dyDescent="0.25">
      <c r="B73" s="66" t="s">
        <v>197</v>
      </c>
      <c r="C73" s="8" t="s">
        <v>219</v>
      </c>
      <c r="D73" s="16">
        <v>0.76539999999999997</v>
      </c>
      <c r="E73" s="17">
        <v>0</v>
      </c>
      <c r="F73" s="69" t="s">
        <v>165</v>
      </c>
    </row>
    <row r="74" spans="2:6" s="66" customFormat="1" x14ac:dyDescent="0.25">
      <c r="B74" s="66" t="s">
        <v>198</v>
      </c>
      <c r="C74" s="8" t="s">
        <v>219</v>
      </c>
      <c r="D74" s="16">
        <v>0.63329999999999997</v>
      </c>
      <c r="E74" s="17">
        <v>0</v>
      </c>
      <c r="F74" s="69" t="s">
        <v>156</v>
      </c>
    </row>
    <row r="75" spans="2:6" s="66" customFormat="1" x14ac:dyDescent="0.25">
      <c r="B75" s="66" t="s">
        <v>199</v>
      </c>
      <c r="C75" s="8" t="s">
        <v>219</v>
      </c>
      <c r="D75" s="16">
        <v>0.63329999999999997</v>
      </c>
      <c r="E75" s="17">
        <v>0</v>
      </c>
      <c r="F75" s="69" t="s">
        <v>155</v>
      </c>
    </row>
    <row r="76" spans="2:6" s="66" customFormat="1" x14ac:dyDescent="0.25">
      <c r="B76" s="66" t="s">
        <v>200</v>
      </c>
      <c r="C76" s="8" t="s">
        <v>219</v>
      </c>
      <c r="D76" s="16">
        <v>0.63329999999999997</v>
      </c>
      <c r="E76" s="17">
        <v>0</v>
      </c>
      <c r="F76" s="69" t="s">
        <v>163</v>
      </c>
    </row>
    <row r="77" spans="2:6" s="66" customFormat="1" x14ac:dyDescent="0.25">
      <c r="B77" s="66" t="s">
        <v>201</v>
      </c>
      <c r="C77" s="8" t="s">
        <v>219</v>
      </c>
      <c r="D77" s="16">
        <v>0.8901</v>
      </c>
      <c r="E77" s="17">
        <v>0</v>
      </c>
      <c r="F77" s="69" t="s">
        <v>156</v>
      </c>
    </row>
    <row r="78" spans="2:6" s="66" customFormat="1" x14ac:dyDescent="0.25">
      <c r="B78" s="66" t="s">
        <v>202</v>
      </c>
      <c r="C78" s="8" t="s">
        <v>219</v>
      </c>
      <c r="D78" s="16">
        <v>0.8901</v>
      </c>
      <c r="E78" s="17">
        <v>0</v>
      </c>
      <c r="F78" s="69" t="s">
        <v>155</v>
      </c>
    </row>
    <row r="79" spans="2:6" s="66" customFormat="1" x14ac:dyDescent="0.25">
      <c r="B79" s="66" t="s">
        <v>203</v>
      </c>
      <c r="C79" s="8" t="s">
        <v>219</v>
      </c>
      <c r="D79" s="16">
        <v>0.8901</v>
      </c>
      <c r="E79" s="17">
        <v>0</v>
      </c>
      <c r="F79" s="69" t="s">
        <v>163</v>
      </c>
    </row>
    <row r="80" spans="2:6" s="66" customFormat="1" x14ac:dyDescent="0.25">
      <c r="B80" s="2" t="s">
        <v>75</v>
      </c>
      <c r="C80" s="8" t="str">
        <f t="shared" ref="C80" si="0">CONCATENATE(B80,"Unmeasured Sewerage RV Poundage")</f>
        <v>STOPUnmeasured Sewerage RV Poundage</v>
      </c>
      <c r="D80" s="16">
        <v>0</v>
      </c>
      <c r="E80" s="17">
        <v>0</v>
      </c>
      <c r="F80" s="69" t="s">
        <v>12</v>
      </c>
    </row>
    <row r="81" s="66" customFormat="1" x14ac:dyDescent="0.25"/>
    <row r="82" s="66" customFormat="1" x14ac:dyDescent="0.25"/>
  </sheetData>
  <sheetProtection algorithmName="SHA-512" hashValue="WbrzZSCoySW5bYovo3+Bqm7F8hxMuz0vnFPVHkqXCkSj5J9jDCzxvPAb59jQR+cpK530CmBXZqS9cAR3JjzhPA==" saltValue="VNGK4xxURTnqqbVTEanYsw==" spinCount="100000" sheet="1" objects="1" scenarios="1" selectLockedCells="1" selectUnlockedCells="1"/>
  <autoFilter ref="H19:I19" xr:uid="{00000000-0001-0000-02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9AD4C-A52E-4DAB-A07D-DB219838C24B}">
  <sheetPr codeName="Sheet4"/>
  <dimension ref="B1:L79"/>
  <sheetViews>
    <sheetView workbookViewId="0">
      <selection activeCell="D3" sqref="D3"/>
    </sheetView>
  </sheetViews>
  <sheetFormatPr defaultRowHeight="15" x14ac:dyDescent="0.25"/>
  <cols>
    <col min="5" max="6" width="23.85546875" bestFit="1" customWidth="1"/>
    <col min="10" max="10" width="27.7109375" bestFit="1" customWidth="1"/>
  </cols>
  <sheetData>
    <row r="1" spans="2:12" x14ac:dyDescent="0.25">
      <c r="E1" t="s">
        <v>205</v>
      </c>
      <c r="F1" t="s">
        <v>207</v>
      </c>
      <c r="G1" t="s">
        <v>208</v>
      </c>
    </row>
    <row r="2" spans="2:12" x14ac:dyDescent="0.25">
      <c r="E2" t="s">
        <v>206</v>
      </c>
      <c r="F2" s="19" t="s">
        <v>206</v>
      </c>
      <c r="G2" t="s">
        <v>209</v>
      </c>
      <c r="J2" t="s">
        <v>212</v>
      </c>
    </row>
    <row r="3" spans="2:12" x14ac:dyDescent="0.25">
      <c r="B3">
        <v>1</v>
      </c>
      <c r="E3" t="s">
        <v>4</v>
      </c>
      <c r="F3" t="s">
        <v>5</v>
      </c>
      <c r="G3">
        <v>1</v>
      </c>
      <c r="J3" t="s">
        <v>213</v>
      </c>
    </row>
    <row r="4" spans="2:12" x14ac:dyDescent="0.25">
      <c r="B4">
        <v>2</v>
      </c>
      <c r="E4" t="s">
        <v>36</v>
      </c>
      <c r="F4" t="s">
        <v>14</v>
      </c>
      <c r="G4">
        <v>2</v>
      </c>
      <c r="J4" s="19" t="s">
        <v>204</v>
      </c>
    </row>
    <row r="5" spans="2:12" x14ac:dyDescent="0.25">
      <c r="B5" s="19">
        <v>3</v>
      </c>
      <c r="E5" t="s">
        <v>37</v>
      </c>
      <c r="F5" t="s">
        <v>15</v>
      </c>
      <c r="G5" s="19">
        <v>3</v>
      </c>
      <c r="J5" s="19" t="s">
        <v>214</v>
      </c>
    </row>
    <row r="6" spans="2:12" x14ac:dyDescent="0.25">
      <c r="B6" s="19">
        <v>4</v>
      </c>
      <c r="E6" t="s">
        <v>38</v>
      </c>
      <c r="F6" t="s">
        <v>16</v>
      </c>
      <c r="G6" s="19">
        <v>4</v>
      </c>
      <c r="J6" s="19" t="s">
        <v>215</v>
      </c>
    </row>
    <row r="7" spans="2:12" x14ac:dyDescent="0.25">
      <c r="B7" s="19">
        <v>5</v>
      </c>
      <c r="E7" t="s">
        <v>39</v>
      </c>
      <c r="F7" t="s">
        <v>17</v>
      </c>
      <c r="G7" s="19">
        <v>5</v>
      </c>
    </row>
    <row r="8" spans="2:12" x14ac:dyDescent="0.25">
      <c r="B8" s="19">
        <v>6</v>
      </c>
      <c r="E8" t="s">
        <v>43</v>
      </c>
      <c r="F8" t="s">
        <v>18</v>
      </c>
      <c r="G8" s="19">
        <v>6</v>
      </c>
      <c r="J8" s="19"/>
      <c r="L8" t="s">
        <v>12</v>
      </c>
    </row>
    <row r="9" spans="2:12" x14ac:dyDescent="0.25">
      <c r="B9" s="19">
        <v>7</v>
      </c>
      <c r="E9" t="s">
        <v>40</v>
      </c>
      <c r="F9" t="s">
        <v>19</v>
      </c>
      <c r="G9" s="19">
        <v>7</v>
      </c>
      <c r="L9" t="s">
        <v>12</v>
      </c>
    </row>
    <row r="10" spans="2:12" x14ac:dyDescent="0.25">
      <c r="B10" s="19">
        <v>8</v>
      </c>
      <c r="E10" t="s">
        <v>44</v>
      </c>
      <c r="F10" t="s">
        <v>20</v>
      </c>
      <c r="G10" s="19">
        <v>8</v>
      </c>
      <c r="L10" t="s">
        <v>12</v>
      </c>
    </row>
    <row r="11" spans="2:12" x14ac:dyDescent="0.25">
      <c r="B11" s="19">
        <v>9</v>
      </c>
      <c r="E11" t="s">
        <v>41</v>
      </c>
      <c r="F11" t="s">
        <v>21</v>
      </c>
      <c r="G11" s="19">
        <v>9</v>
      </c>
      <c r="L11" t="s">
        <v>12</v>
      </c>
    </row>
    <row r="12" spans="2:12" x14ac:dyDescent="0.25">
      <c r="B12" s="19">
        <v>10</v>
      </c>
      <c r="E12" t="s">
        <v>42</v>
      </c>
      <c r="F12" t="s">
        <v>28</v>
      </c>
      <c r="G12" s="19">
        <v>10</v>
      </c>
      <c r="L12" t="s">
        <v>12</v>
      </c>
    </row>
    <row r="13" spans="2:12" x14ac:dyDescent="0.25">
      <c r="B13" s="19">
        <v>11</v>
      </c>
      <c r="E13" t="s">
        <v>45</v>
      </c>
      <c r="F13" t="s">
        <v>27</v>
      </c>
      <c r="G13" s="19">
        <v>11</v>
      </c>
    </row>
    <row r="14" spans="2:12" x14ac:dyDescent="0.25">
      <c r="B14" s="19">
        <v>12</v>
      </c>
      <c r="E14" t="s">
        <v>125</v>
      </c>
      <c r="F14" t="s">
        <v>26</v>
      </c>
      <c r="G14" s="19">
        <v>12</v>
      </c>
    </row>
    <row r="15" spans="2:12" x14ac:dyDescent="0.25">
      <c r="B15" s="19">
        <v>13</v>
      </c>
      <c r="E15" t="s">
        <v>126</v>
      </c>
      <c r="F15" t="s">
        <v>25</v>
      </c>
      <c r="G15" s="19">
        <v>13</v>
      </c>
    </row>
    <row r="16" spans="2:12" x14ac:dyDescent="0.25">
      <c r="B16" s="19">
        <v>14</v>
      </c>
      <c r="E16" t="s">
        <v>127</v>
      </c>
      <c r="F16" t="s">
        <v>24</v>
      </c>
      <c r="G16" s="19">
        <v>14</v>
      </c>
    </row>
    <row r="17" spans="2:7" x14ac:dyDescent="0.25">
      <c r="B17" s="19">
        <v>15</v>
      </c>
      <c r="E17" t="s">
        <v>128</v>
      </c>
      <c r="F17" t="s">
        <v>32</v>
      </c>
      <c r="G17" s="19">
        <v>15</v>
      </c>
    </row>
    <row r="18" spans="2:7" x14ac:dyDescent="0.25">
      <c r="B18" s="19">
        <v>16</v>
      </c>
      <c r="E18" t="s">
        <v>129</v>
      </c>
      <c r="F18" t="s">
        <v>33</v>
      </c>
      <c r="G18" s="19">
        <v>16</v>
      </c>
    </row>
    <row r="19" spans="2:7" x14ac:dyDescent="0.25">
      <c r="B19" s="19">
        <v>17</v>
      </c>
      <c r="E19" t="s">
        <v>74</v>
      </c>
      <c r="F19" t="s">
        <v>23</v>
      </c>
      <c r="G19" s="19">
        <v>17</v>
      </c>
    </row>
    <row r="20" spans="2:7" x14ac:dyDescent="0.25">
      <c r="B20" s="19">
        <v>18</v>
      </c>
      <c r="E20" t="s">
        <v>76</v>
      </c>
      <c r="F20" t="s">
        <v>22</v>
      </c>
      <c r="G20" s="19">
        <v>18</v>
      </c>
    </row>
    <row r="21" spans="2:7" x14ac:dyDescent="0.25">
      <c r="B21" s="19">
        <v>19</v>
      </c>
      <c r="E21" t="s">
        <v>77</v>
      </c>
      <c r="F21" t="s">
        <v>34</v>
      </c>
      <c r="G21" s="19">
        <v>19</v>
      </c>
    </row>
    <row r="22" spans="2:7" x14ac:dyDescent="0.25">
      <c r="B22" s="19">
        <v>20</v>
      </c>
      <c r="E22" t="s">
        <v>78</v>
      </c>
      <c r="F22" t="s">
        <v>35</v>
      </c>
      <c r="G22" s="19">
        <v>20</v>
      </c>
    </row>
    <row r="23" spans="2:7" x14ac:dyDescent="0.25">
      <c r="B23" s="19">
        <v>21</v>
      </c>
      <c r="E23" t="s">
        <v>79</v>
      </c>
      <c r="F23" t="s">
        <v>174</v>
      </c>
      <c r="G23" s="19">
        <v>21</v>
      </c>
    </row>
    <row r="24" spans="2:7" x14ac:dyDescent="0.25">
      <c r="B24" s="19">
        <v>22</v>
      </c>
      <c r="E24" t="s">
        <v>80</v>
      </c>
      <c r="F24" t="s">
        <v>123</v>
      </c>
      <c r="G24" s="19">
        <v>22</v>
      </c>
    </row>
    <row r="25" spans="2:7" x14ac:dyDescent="0.25">
      <c r="B25" s="19">
        <v>23</v>
      </c>
      <c r="E25" t="s">
        <v>81</v>
      </c>
      <c r="F25" t="s">
        <v>124</v>
      </c>
      <c r="G25" s="19">
        <v>23</v>
      </c>
    </row>
    <row r="26" spans="2:7" x14ac:dyDescent="0.25">
      <c r="B26" s="19">
        <v>24</v>
      </c>
      <c r="E26" t="s">
        <v>82</v>
      </c>
      <c r="F26" t="s">
        <v>109</v>
      </c>
      <c r="G26" s="19">
        <v>24</v>
      </c>
    </row>
    <row r="27" spans="2:7" x14ac:dyDescent="0.25">
      <c r="E27" t="s">
        <v>83</v>
      </c>
      <c r="F27" t="s">
        <v>110</v>
      </c>
      <c r="G27" s="19">
        <v>25</v>
      </c>
    </row>
    <row r="28" spans="2:7" x14ac:dyDescent="0.25">
      <c r="E28" t="s">
        <v>87</v>
      </c>
      <c r="F28" t="s">
        <v>111</v>
      </c>
    </row>
    <row r="29" spans="2:7" x14ac:dyDescent="0.25">
      <c r="E29" t="s">
        <v>84</v>
      </c>
      <c r="F29" t="s">
        <v>112</v>
      </c>
    </row>
    <row r="30" spans="2:7" x14ac:dyDescent="0.25">
      <c r="E30" t="s">
        <v>88</v>
      </c>
      <c r="F30" t="s">
        <v>113</v>
      </c>
    </row>
    <row r="31" spans="2:7" x14ac:dyDescent="0.25">
      <c r="E31" t="s">
        <v>85</v>
      </c>
      <c r="F31" t="s">
        <v>114</v>
      </c>
    </row>
    <row r="32" spans="2:7" x14ac:dyDescent="0.25">
      <c r="E32" t="s">
        <v>89</v>
      </c>
      <c r="F32" t="s">
        <v>115</v>
      </c>
    </row>
    <row r="33" spans="5:6" x14ac:dyDescent="0.25">
      <c r="E33" t="s">
        <v>86</v>
      </c>
      <c r="F33" t="s">
        <v>116</v>
      </c>
    </row>
    <row r="34" spans="5:6" x14ac:dyDescent="0.25">
      <c r="E34" t="s">
        <v>90</v>
      </c>
      <c r="F34" t="s">
        <v>117</v>
      </c>
    </row>
    <row r="35" spans="5:6" x14ac:dyDescent="0.25">
      <c r="E35" t="s">
        <v>91</v>
      </c>
      <c r="F35" t="s">
        <v>118</v>
      </c>
    </row>
    <row r="36" spans="5:6" x14ac:dyDescent="0.25">
      <c r="E36" t="s">
        <v>92</v>
      </c>
      <c r="F36" t="s">
        <v>119</v>
      </c>
    </row>
    <row r="37" spans="5:6" x14ac:dyDescent="0.25">
      <c r="E37" t="s">
        <v>177</v>
      </c>
      <c r="F37" t="s">
        <v>120</v>
      </c>
    </row>
    <row r="38" spans="5:6" x14ac:dyDescent="0.25">
      <c r="E38" t="s">
        <v>178</v>
      </c>
      <c r="F38" t="s">
        <v>121</v>
      </c>
    </row>
    <row r="39" spans="5:6" x14ac:dyDescent="0.25">
      <c r="E39" t="s">
        <v>179</v>
      </c>
      <c r="F39" t="s">
        <v>122</v>
      </c>
    </row>
    <row r="40" spans="5:6" x14ac:dyDescent="0.25">
      <c r="E40" t="s">
        <v>182</v>
      </c>
      <c r="F40" t="s">
        <v>11</v>
      </c>
    </row>
    <row r="41" spans="5:6" x14ac:dyDescent="0.25">
      <c r="E41" t="s">
        <v>183</v>
      </c>
      <c r="F41" t="s">
        <v>130</v>
      </c>
    </row>
    <row r="42" spans="5:6" x14ac:dyDescent="0.25">
      <c r="E42" t="s">
        <v>175</v>
      </c>
      <c r="F42" t="s">
        <v>131</v>
      </c>
    </row>
    <row r="43" spans="5:6" x14ac:dyDescent="0.25">
      <c r="E43" t="s">
        <v>176</v>
      </c>
      <c r="F43" t="s">
        <v>132</v>
      </c>
    </row>
    <row r="44" spans="5:6" x14ac:dyDescent="0.25">
      <c r="E44" t="s">
        <v>180</v>
      </c>
      <c r="F44" t="s">
        <v>133</v>
      </c>
    </row>
    <row r="45" spans="5:6" x14ac:dyDescent="0.25">
      <c r="E45" t="s">
        <v>181</v>
      </c>
      <c r="F45" t="s">
        <v>134</v>
      </c>
    </row>
    <row r="46" spans="5:6" x14ac:dyDescent="0.25">
      <c r="E46" t="s">
        <v>184</v>
      </c>
      <c r="F46" t="s">
        <v>135</v>
      </c>
    </row>
    <row r="47" spans="5:6" x14ac:dyDescent="0.25">
      <c r="E47" t="s">
        <v>185</v>
      </c>
      <c r="F47" t="s">
        <v>136</v>
      </c>
    </row>
    <row r="48" spans="5:6" x14ac:dyDescent="0.25">
      <c r="F48" t="s">
        <v>137</v>
      </c>
    </row>
    <row r="49" spans="6:6" x14ac:dyDescent="0.25">
      <c r="F49" t="s">
        <v>138</v>
      </c>
    </row>
    <row r="50" spans="6:6" x14ac:dyDescent="0.25">
      <c r="F50" t="s">
        <v>139</v>
      </c>
    </row>
    <row r="51" spans="6:6" x14ac:dyDescent="0.25">
      <c r="F51" t="s">
        <v>140</v>
      </c>
    </row>
    <row r="52" spans="6:6" x14ac:dyDescent="0.25">
      <c r="F52" t="s">
        <v>141</v>
      </c>
    </row>
    <row r="53" spans="6:6" x14ac:dyDescent="0.25">
      <c r="F53" t="s">
        <v>142</v>
      </c>
    </row>
    <row r="54" spans="6:6" x14ac:dyDescent="0.25">
      <c r="F54" t="s">
        <v>143</v>
      </c>
    </row>
    <row r="55" spans="6:6" x14ac:dyDescent="0.25">
      <c r="F55" t="s">
        <v>144</v>
      </c>
    </row>
    <row r="56" spans="6:6" x14ac:dyDescent="0.25">
      <c r="F56" t="s">
        <v>145</v>
      </c>
    </row>
    <row r="57" spans="6:6" x14ac:dyDescent="0.25">
      <c r="F57" t="s">
        <v>93</v>
      </c>
    </row>
    <row r="58" spans="6:6" x14ac:dyDescent="0.25">
      <c r="F58" t="s">
        <v>146</v>
      </c>
    </row>
    <row r="59" spans="6:6" x14ac:dyDescent="0.25">
      <c r="F59" t="s">
        <v>147</v>
      </c>
    </row>
    <row r="60" spans="6:6" x14ac:dyDescent="0.25">
      <c r="F60" t="s">
        <v>148</v>
      </c>
    </row>
    <row r="61" spans="6:6" x14ac:dyDescent="0.25">
      <c r="F61" t="s">
        <v>149</v>
      </c>
    </row>
    <row r="62" spans="6:6" x14ac:dyDescent="0.25">
      <c r="F62" t="s">
        <v>186</v>
      </c>
    </row>
    <row r="63" spans="6:6" x14ac:dyDescent="0.25">
      <c r="F63" t="s">
        <v>187</v>
      </c>
    </row>
    <row r="64" spans="6:6" x14ac:dyDescent="0.25">
      <c r="F64" t="s">
        <v>188</v>
      </c>
    </row>
    <row r="65" spans="6:6" x14ac:dyDescent="0.25">
      <c r="F65" t="s">
        <v>189</v>
      </c>
    </row>
    <row r="66" spans="6:6" x14ac:dyDescent="0.25">
      <c r="F66" t="s">
        <v>190</v>
      </c>
    </row>
    <row r="67" spans="6:6" x14ac:dyDescent="0.25">
      <c r="F67" t="s">
        <v>191</v>
      </c>
    </row>
    <row r="68" spans="6:6" x14ac:dyDescent="0.25">
      <c r="F68" t="s">
        <v>192</v>
      </c>
    </row>
    <row r="69" spans="6:6" x14ac:dyDescent="0.25">
      <c r="F69" t="s">
        <v>193</v>
      </c>
    </row>
    <row r="70" spans="6:6" x14ac:dyDescent="0.25">
      <c r="F70" t="s">
        <v>194</v>
      </c>
    </row>
    <row r="71" spans="6:6" x14ac:dyDescent="0.25">
      <c r="F71" t="s">
        <v>195</v>
      </c>
    </row>
    <row r="72" spans="6:6" x14ac:dyDescent="0.25">
      <c r="F72" t="s">
        <v>196</v>
      </c>
    </row>
    <row r="73" spans="6:6" x14ac:dyDescent="0.25">
      <c r="F73" t="s">
        <v>197</v>
      </c>
    </row>
    <row r="74" spans="6:6" x14ac:dyDescent="0.25">
      <c r="F74" t="s">
        <v>198</v>
      </c>
    </row>
    <row r="75" spans="6:6" x14ac:dyDescent="0.25">
      <c r="F75" t="s">
        <v>199</v>
      </c>
    </row>
    <row r="76" spans="6:6" x14ac:dyDescent="0.25">
      <c r="F76" t="s">
        <v>200</v>
      </c>
    </row>
    <row r="77" spans="6:6" x14ac:dyDescent="0.25">
      <c r="F77" t="s">
        <v>201</v>
      </c>
    </row>
    <row r="78" spans="6:6" x14ac:dyDescent="0.25">
      <c r="F78" t="s">
        <v>202</v>
      </c>
    </row>
    <row r="79" spans="6:6" x14ac:dyDescent="0.25">
      <c r="F79" t="s">
        <v>203</v>
      </c>
    </row>
  </sheetData>
  <sheetProtection algorithmName="SHA-512" hashValue="dKEK9BUHPRZrLC4gnEuJHzDgqsB4et49xPtLFuAZ5K27f62s+89C2FSFY2oOS0nvvS0XR+ktLW/JmSnUwEjVxw==" saltValue="9v2tkzZgnv6qx2A/yCNWEw=="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643B6E37E7A4448504D09C73AD4C95" ma:contentTypeVersion="12" ma:contentTypeDescription="Create a new document." ma:contentTypeScope="" ma:versionID="ffb8cfe1e98a47a2aaa3b9d9e7d37732">
  <xsd:schema xmlns:xsd="http://www.w3.org/2001/XMLSchema" xmlns:xs="http://www.w3.org/2001/XMLSchema" xmlns:p="http://schemas.microsoft.com/office/2006/metadata/properties" xmlns:ns3="5d3fc605-a2c6-4110-a08a-b04346801378" xmlns:ns4="aaf923a3-172b-4363-96d5-c0d7aff555f6" targetNamespace="http://schemas.microsoft.com/office/2006/metadata/properties" ma:root="true" ma:fieldsID="290c9da928ca2b492e406d521555cc4d" ns3:_="" ns4:_="">
    <xsd:import namespace="5d3fc605-a2c6-4110-a08a-b04346801378"/>
    <xsd:import namespace="aaf923a3-172b-4363-96d5-c0d7aff555f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3fc605-a2c6-4110-a08a-b043468013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f923a3-172b-4363-96d5-c0d7aff555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AAA3DE-F633-4204-A303-52EBEB14A1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3fc605-a2c6-4110-a08a-b04346801378"/>
    <ds:schemaRef ds:uri="aaf923a3-172b-4363-96d5-c0d7aff555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BB6441-59CC-44EF-95D2-CD484E075C73}">
  <ds:schemaRefs>
    <ds:schemaRef ds:uri="http://schemas.microsoft.com/sharepoint/v3/contenttype/forms"/>
  </ds:schemaRefs>
</ds:datastoreItem>
</file>

<file path=customXml/itemProps3.xml><?xml version="1.0" encoding="utf-8"?>
<ds:datastoreItem xmlns:ds="http://schemas.openxmlformats.org/officeDocument/2006/customXml" ds:itemID="{9E2FE77C-B4AA-4678-A17B-EAAF9F7D1B29}">
  <ds:schemaRefs>
    <ds:schemaRef ds:uri="http://purl.org/dc/elements/1.1/"/>
    <ds:schemaRef ds:uri="http://schemas.microsoft.com/office/2006/metadata/properties"/>
    <ds:schemaRef ds:uri="5d3fc605-a2c6-4110-a08a-b0434680137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af923a3-172b-4363-96d5-c0d7aff555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Main</vt:lpstr>
      <vt:lpstr>Water</vt:lpstr>
      <vt:lpstr>Waste</vt:lpstr>
      <vt:lpstr>List</vt:lpstr>
      <vt:lpstr>METER</vt:lpstr>
      <vt:lpstr>MISC</vt:lpstr>
      <vt:lpstr>SSSCO</vt:lpstr>
      <vt:lpstr>UWPipe</vt:lpstr>
      <vt:lpstr>WSSCO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Trafford</dc:creator>
  <cp:lastModifiedBy>James White</cp:lastModifiedBy>
  <cp:lastPrinted>2021-03-17T17:24:37Z</cp:lastPrinted>
  <dcterms:created xsi:type="dcterms:W3CDTF">2017-10-16T10:35:47Z</dcterms:created>
  <dcterms:modified xsi:type="dcterms:W3CDTF">2022-03-30T14:22:43Z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0x01010015643B6E37E7A4448504D09C73AD4C95</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