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chartsheets/sheet1.xml" ContentType="application/vnd.openxmlformats-officedocument.spreadsheetml.chart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codeName="ThisWorkbook" defaultThemeVersion="124226"/>
  <mc:AlternateContent xmlns:mc="http://schemas.openxmlformats.org/markup-compatibility/2006">
    <mc:Choice Requires="x15">
      <x15ac:absPath xmlns:x15ac="http://schemas.microsoft.com/office/spreadsheetml/2010/11/ac" url="C:\Users\smolyneu\Downloads\"/>
    </mc:Choice>
  </mc:AlternateContent>
  <xr:revisionPtr revIDLastSave="0" documentId="8_{CFFA1D93-DFBE-451A-ACEF-C1D25D4C7003}" xr6:coauthVersionLast="47" xr6:coauthVersionMax="47" xr10:uidLastSave="{00000000-0000-0000-0000-000000000000}"/>
  <bookViews>
    <workbookView xWindow="30675" yWindow="1875" windowWidth="21600" windowHeight="11325" tabRatio="869" activeTab="5" xr2:uid="{00000000-000D-0000-FFFF-FFFF00000000}"/>
  </bookViews>
  <sheets>
    <sheet name="Cover" sheetId="39" r:id="rId1"/>
    <sheet name="User Guide" sheetId="51" r:id="rId2"/>
    <sheet name="Map &amp; Key" sheetId="44" r:id="rId3"/>
    <sheet name="Model Design" sheetId="64" r:id="rId4"/>
    <sheet name="Inputs &gt;&gt;" sheetId="57" r:id="rId5"/>
    <sheet name="InpC" sheetId="53" r:id="rId6"/>
    <sheet name="InpAct" sheetId="27" r:id="rId7"/>
    <sheet name="Calcs &gt;&gt;" sheetId="58" r:id="rId8"/>
    <sheet name="RCV" sheetId="31" r:id="rId9"/>
    <sheet name="Totex" sheetId="56" r:id="rId10"/>
    <sheet name="Wholesale" sheetId="40" r:id="rId11"/>
    <sheet name="Reconciliation" sheetId="62" r:id="rId12"/>
    <sheet name="Retail" sheetId="33" r:id="rId13"/>
    <sheet name="Customers" sheetId="48" r:id="rId14"/>
    <sheet name="Summary_Calc" sheetId="38" r:id="rId15"/>
    <sheet name="Outputs &gt;&gt;" sheetId="59" r:id="rId16"/>
    <sheet name="GraphData" sheetId="30" r:id="rId17"/>
    <sheet name="Waterfall" sheetId="26" r:id="rId18"/>
    <sheet name="QA &gt;&gt;" sheetId="60" r:id="rId19"/>
    <sheet name="Track" sheetId="52" r:id="rId20"/>
    <sheet name="Check" sheetId="36" r:id="rId21"/>
  </sheets>
  <externalReferences>
    <externalReference r:id="rId22"/>
    <externalReference r:id="rId23"/>
    <externalReference r:id="rId24"/>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257</definedName>
    <definedName name="_AtRisk_SimSetting_ReportOptionReportsFileType" hidden="1">1</definedName>
    <definedName name="_AtRisk_SimSetting_ReportOptionSelectiveQR" hidden="1">FALSE</definedName>
    <definedName name="_AtRisk_SimSetting_ReportsList" hidden="1">257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LIVE_RESULTS">Track!$H$7:$H$124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START_TRACK_STORE">Track!$M$6</definedName>
    <definedName name="TRACK_ACTIVE">Track!$H$6</definedName>
    <definedName name="TRACK_COMMENT_START">Track!$M$126</definedName>
    <definedName name="TRK_COMMENT">Track!$E$126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 i="27" l="1"/>
  <c r="F313" i="27" l="1"/>
  <c r="G311" i="27"/>
  <c r="F311" i="27"/>
  <c r="E311" i="27"/>
  <c r="G284" i="27"/>
  <c r="F284" i="27"/>
  <c r="E284" i="27"/>
  <c r="G282" i="27"/>
  <c r="F282" i="27"/>
  <c r="E282" i="27"/>
  <c r="G280" i="27"/>
  <c r="F280" i="27"/>
  <c r="E280" i="27"/>
  <c r="G278" i="27"/>
  <c r="F278" i="27"/>
  <c r="G276" i="27"/>
  <c r="F276" i="27"/>
  <c r="E276" i="27"/>
  <c r="G275" i="27"/>
  <c r="F275" i="27"/>
  <c r="E275" i="27"/>
  <c r="G274" i="27"/>
  <c r="F274" i="27"/>
  <c r="E274" i="27"/>
  <c r="G272" i="27"/>
  <c r="F272" i="27"/>
  <c r="E272" i="27"/>
  <c r="G271" i="27"/>
  <c r="F271" i="27"/>
  <c r="E271" i="27"/>
  <c r="G270" i="27"/>
  <c r="F270" i="27"/>
  <c r="E270" i="27"/>
  <c r="G195" i="27"/>
  <c r="F195" i="27"/>
  <c r="E195" i="27"/>
  <c r="G189" i="27"/>
  <c r="F189" i="27"/>
  <c r="E189" i="27"/>
  <c r="G186" i="27"/>
  <c r="F186" i="27"/>
  <c r="E186" i="27"/>
  <c r="G99" i="27"/>
  <c r="F99" i="27"/>
  <c r="E99" i="27"/>
  <c r="G95" i="27"/>
  <c r="F95" i="27"/>
  <c r="E95" i="27"/>
  <c r="G59" i="27"/>
  <c r="F59" i="27"/>
  <c r="E59" i="27"/>
  <c r="F308" i="27"/>
  <c r="G306" i="27"/>
  <c r="F306" i="27"/>
  <c r="E306" i="27"/>
  <c r="G267" i="27"/>
  <c r="F267" i="27"/>
  <c r="E267" i="27"/>
  <c r="G265" i="27"/>
  <c r="F265" i="27"/>
  <c r="E265" i="27"/>
  <c r="G263" i="27"/>
  <c r="F263" i="27"/>
  <c r="E263" i="27"/>
  <c r="G261" i="27"/>
  <c r="F261" i="27"/>
  <c r="G259" i="27"/>
  <c r="F259" i="27"/>
  <c r="E259" i="27"/>
  <c r="G258" i="27"/>
  <c r="F258" i="27"/>
  <c r="E258" i="27"/>
  <c r="G257" i="27"/>
  <c r="F257" i="27"/>
  <c r="E257" i="27"/>
  <c r="G255" i="27"/>
  <c r="F255" i="27"/>
  <c r="E255" i="27"/>
  <c r="G254" i="27"/>
  <c r="F254" i="27"/>
  <c r="E254" i="27"/>
  <c r="G253" i="27"/>
  <c r="F253" i="27"/>
  <c r="E253" i="27"/>
  <c r="G177" i="27"/>
  <c r="F177" i="27"/>
  <c r="E177" i="27"/>
  <c r="G171" i="27"/>
  <c r="F171" i="27"/>
  <c r="E171" i="27"/>
  <c r="G168" i="27"/>
  <c r="F168" i="27"/>
  <c r="E168" i="27"/>
  <c r="G98" i="27"/>
  <c r="F98" i="27"/>
  <c r="E98" i="27"/>
  <c r="G94" i="27"/>
  <c r="F94" i="27"/>
  <c r="E94" i="27"/>
  <c r="G58" i="27"/>
  <c r="F58" i="27"/>
  <c r="E58" i="27"/>
  <c r="F303" i="27"/>
  <c r="G301" i="27"/>
  <c r="F301" i="27"/>
  <c r="E301" i="27"/>
  <c r="G250" i="27"/>
  <c r="F250" i="27"/>
  <c r="E250" i="27"/>
  <c r="G248" i="27"/>
  <c r="F248" i="27"/>
  <c r="E248" i="27"/>
  <c r="G246" i="27"/>
  <c r="F246" i="27"/>
  <c r="E246" i="27"/>
  <c r="G244" i="27"/>
  <c r="F244" i="27"/>
  <c r="G242" i="27"/>
  <c r="F242" i="27"/>
  <c r="E242" i="27"/>
  <c r="G241" i="27"/>
  <c r="F241" i="27"/>
  <c r="E241" i="27"/>
  <c r="G240" i="27"/>
  <c r="F240" i="27"/>
  <c r="E240" i="27"/>
  <c r="G238" i="27"/>
  <c r="F238" i="27"/>
  <c r="E238" i="27"/>
  <c r="G237" i="27"/>
  <c r="F237" i="27"/>
  <c r="E237" i="27"/>
  <c r="G236" i="27"/>
  <c r="F236" i="27"/>
  <c r="E236" i="27"/>
  <c r="G159" i="27"/>
  <c r="F159" i="27"/>
  <c r="E159" i="27"/>
  <c r="G153" i="27"/>
  <c r="F153" i="27"/>
  <c r="E153" i="27"/>
  <c r="G150" i="27"/>
  <c r="F150" i="27"/>
  <c r="E150" i="27"/>
  <c r="G97" i="27"/>
  <c r="F97" i="27"/>
  <c r="E97" i="27"/>
  <c r="G93" i="27"/>
  <c r="F93" i="27"/>
  <c r="E93" i="27"/>
  <c r="G57" i="27"/>
  <c r="F57" i="27"/>
  <c r="E57" i="27"/>
  <c r="F298" i="27"/>
  <c r="G296" i="27"/>
  <c r="F296" i="27"/>
  <c r="E296" i="27"/>
  <c r="G233" i="27"/>
  <c r="F233" i="27"/>
  <c r="E233" i="27"/>
  <c r="G231" i="27"/>
  <c r="F231" i="27"/>
  <c r="E231" i="27"/>
  <c r="G229" i="27"/>
  <c r="F229" i="27"/>
  <c r="E229" i="27"/>
  <c r="G227" i="27"/>
  <c r="F227" i="27"/>
  <c r="G225" i="27"/>
  <c r="F225" i="27"/>
  <c r="E225" i="27"/>
  <c r="G224" i="27"/>
  <c r="F224" i="27"/>
  <c r="E224" i="27"/>
  <c r="G223" i="27"/>
  <c r="F223" i="27"/>
  <c r="E223" i="27"/>
  <c r="G221" i="27"/>
  <c r="F221" i="27"/>
  <c r="E221" i="27"/>
  <c r="G220" i="27"/>
  <c r="F220" i="27"/>
  <c r="E220" i="27"/>
  <c r="G219" i="27"/>
  <c r="F219" i="27"/>
  <c r="E219" i="27"/>
  <c r="G141" i="27"/>
  <c r="F141" i="27"/>
  <c r="E141" i="27"/>
  <c r="G135" i="27"/>
  <c r="F135" i="27"/>
  <c r="E135" i="27"/>
  <c r="G132" i="27"/>
  <c r="F132" i="27"/>
  <c r="E132" i="27"/>
  <c r="G96" i="27"/>
  <c r="F96" i="27"/>
  <c r="E96" i="27"/>
  <c r="G92" i="27"/>
  <c r="F92" i="27"/>
  <c r="E92" i="27"/>
  <c r="G56" i="27"/>
  <c r="F56" i="27"/>
  <c r="E56" i="27"/>
  <c r="G312" i="27"/>
  <c r="F312" i="27"/>
  <c r="E312" i="27"/>
  <c r="G307" i="27"/>
  <c r="F307" i="27"/>
  <c r="E307" i="27"/>
  <c r="G302" i="27"/>
  <c r="F302" i="27"/>
  <c r="E302" i="27"/>
  <c r="G297" i="27"/>
  <c r="F297" i="27"/>
  <c r="E297" i="27"/>
  <c r="G80" i="27"/>
  <c r="F80" i="27"/>
  <c r="E80" i="27"/>
  <c r="G79" i="27"/>
  <c r="F79" i="27"/>
  <c r="E79" i="27"/>
  <c r="G78" i="27"/>
  <c r="F78" i="27"/>
  <c r="E78" i="27"/>
  <c r="G77" i="27"/>
  <c r="F77" i="27"/>
  <c r="E77" i="27"/>
  <c r="G42" i="27"/>
  <c r="F42" i="27"/>
  <c r="E42" i="27"/>
  <c r="G39" i="27"/>
  <c r="F39" i="27"/>
  <c r="E39" i="27"/>
  <c r="G38" i="27"/>
  <c r="F38" i="27"/>
  <c r="E38" i="27"/>
  <c r="G14" i="27"/>
  <c r="F14" i="27"/>
  <c r="E14" i="27"/>
  <c r="G13" i="27"/>
  <c r="F13" i="27"/>
  <c r="E13" i="27"/>
  <c r="G30" i="27"/>
  <c r="F30" i="27"/>
  <c r="G29" i="27"/>
  <c r="F29" i="27"/>
  <c r="G28" i="27"/>
  <c r="F28" i="27"/>
  <c r="G27" i="27"/>
  <c r="F27" i="27"/>
  <c r="G26" i="27"/>
  <c r="F26" i="27"/>
  <c r="G25" i="27"/>
  <c r="F25" i="27"/>
  <c r="F33" i="53"/>
  <c r="E33" i="53"/>
  <c r="F32" i="53"/>
  <c r="E32" i="53"/>
  <c r="J140" i="27" l="1"/>
  <c r="J147" i="27"/>
  <c r="J176" i="27"/>
  <c r="J158" i="27"/>
  <c r="J194" i="27"/>
  <c r="J182" i="27"/>
  <c r="J164" i="27"/>
  <c r="J165" i="27"/>
  <c r="J199" i="27"/>
  <c r="J342" i="27"/>
  <c r="J343" i="27"/>
  <c r="J346" i="27"/>
  <c r="J347" i="27"/>
  <c r="J348" i="27"/>
  <c r="G197" i="27"/>
  <c r="F197" i="27"/>
  <c r="E197" i="27"/>
  <c r="G194" i="27"/>
  <c r="E194" i="27"/>
  <c r="G179" i="27"/>
  <c r="F179" i="27"/>
  <c r="E179" i="27"/>
  <c r="G176" i="27"/>
  <c r="E176" i="27"/>
  <c r="G161" i="27"/>
  <c r="F161" i="27"/>
  <c r="E161" i="27"/>
  <c r="G158" i="27"/>
  <c r="E158" i="27"/>
  <c r="G140" i="27"/>
  <c r="E140" i="27"/>
  <c r="G143" i="27"/>
  <c r="F143" i="27"/>
  <c r="E143" i="27"/>
  <c r="G157" i="27"/>
  <c r="G175" i="27"/>
  <c r="F201" i="27"/>
  <c r="E201" i="27"/>
  <c r="G183" i="27"/>
  <c r="F183" i="27"/>
  <c r="E165" i="27"/>
  <c r="F165" i="27"/>
  <c r="G165" i="27"/>
  <c r="E146" i="27"/>
  <c r="F146" i="27"/>
  <c r="F200" i="27"/>
  <c r="E164" i="27"/>
  <c r="G193" i="27"/>
  <c r="E193" i="27"/>
  <c r="G139" i="27"/>
  <c r="E368" i="27"/>
  <c r="F368" i="27"/>
  <c r="G368" i="27"/>
  <c r="E367" i="27"/>
  <c r="F367" i="27"/>
  <c r="G367" i="27"/>
  <c r="G361" i="27"/>
  <c r="F361" i="27"/>
  <c r="E361" i="27"/>
  <c r="G360" i="27"/>
  <c r="F360" i="27"/>
  <c r="E360" i="27"/>
  <c r="E352" i="27"/>
  <c r="F352" i="27"/>
  <c r="G352" i="27"/>
  <c r="E351" i="27"/>
  <c r="F351" i="27"/>
  <c r="G351" i="27"/>
  <c r="F345" i="27"/>
  <c r="G345" i="27"/>
  <c r="F344" i="27"/>
  <c r="G344" i="27"/>
  <c r="E278" i="27"/>
  <c r="E196" i="27"/>
  <c r="E191" i="27"/>
  <c r="E190" i="27"/>
  <c r="E188" i="27"/>
  <c r="E187" i="27"/>
  <c r="E74" i="27"/>
  <c r="E73" i="27"/>
  <c r="E244" i="27"/>
  <c r="E160" i="27"/>
  <c r="E155" i="27"/>
  <c r="E154" i="27"/>
  <c r="E152" i="27"/>
  <c r="E151" i="27"/>
  <c r="E66" i="27"/>
  <c r="E65" i="27"/>
  <c r="E261" i="27"/>
  <c r="E227" i="27"/>
  <c r="J371" i="27"/>
  <c r="J369" i="27"/>
  <c r="J366" i="27"/>
  <c r="J365" i="27"/>
  <c r="J364" i="27"/>
  <c r="J363" i="27"/>
  <c r="J362" i="27"/>
  <c r="J359" i="27"/>
  <c r="J358" i="27"/>
  <c r="J355" i="27"/>
  <c r="J354" i="27"/>
  <c r="J350" i="27"/>
  <c r="J349" i="27"/>
  <c r="J300" i="27"/>
  <c r="G371" i="27"/>
  <c r="F371" i="27"/>
  <c r="G370" i="27"/>
  <c r="F370" i="27"/>
  <c r="G369" i="27"/>
  <c r="F369" i="27"/>
  <c r="G366" i="27"/>
  <c r="F366" i="27"/>
  <c r="G365" i="27"/>
  <c r="F365" i="27"/>
  <c r="E371" i="27"/>
  <c r="E370" i="27"/>
  <c r="E369" i="27"/>
  <c r="E366" i="27"/>
  <c r="E365" i="27"/>
  <c r="E364" i="27"/>
  <c r="F364" i="27"/>
  <c r="G364" i="27"/>
  <c r="E363" i="27"/>
  <c r="F363" i="27"/>
  <c r="G363" i="27"/>
  <c r="E362" i="27"/>
  <c r="F362" i="27"/>
  <c r="G362" i="27"/>
  <c r="E359" i="27"/>
  <c r="F359" i="27"/>
  <c r="G359" i="27"/>
  <c r="E358" i="27"/>
  <c r="F358" i="27"/>
  <c r="G358" i="27"/>
  <c r="G355" i="27"/>
  <c r="F355" i="27"/>
  <c r="G354" i="27"/>
  <c r="F354" i="27"/>
  <c r="G353" i="27"/>
  <c r="F353" i="27"/>
  <c r="G350" i="27"/>
  <c r="F350" i="27"/>
  <c r="G349" i="27"/>
  <c r="F349" i="27"/>
  <c r="E355" i="27"/>
  <c r="E354" i="27"/>
  <c r="E353" i="27"/>
  <c r="E350" i="27"/>
  <c r="E349" i="27"/>
  <c r="G348" i="27"/>
  <c r="F348" i="27"/>
  <c r="G347" i="27"/>
  <c r="F347" i="27"/>
  <c r="G346" i="27"/>
  <c r="F346" i="27"/>
  <c r="G343" i="27"/>
  <c r="F343" i="27"/>
  <c r="G342" i="27"/>
  <c r="F342" i="27"/>
  <c r="G196" i="27"/>
  <c r="F196" i="27"/>
  <c r="G191" i="27"/>
  <c r="F191" i="27"/>
  <c r="G190" i="27"/>
  <c r="F190" i="27"/>
  <c r="G188" i="27"/>
  <c r="F188" i="27"/>
  <c r="G187" i="27"/>
  <c r="F187" i="27"/>
  <c r="G310" i="27"/>
  <c r="F310" i="27"/>
  <c r="G74" i="27"/>
  <c r="F74" i="27"/>
  <c r="G73" i="27"/>
  <c r="F73" i="27"/>
  <c r="G178" i="27"/>
  <c r="F178" i="27"/>
  <c r="E178" i="27"/>
  <c r="G173" i="27"/>
  <c r="F173" i="27"/>
  <c r="E173" i="27"/>
  <c r="G172" i="27"/>
  <c r="F172" i="27"/>
  <c r="E172" i="27"/>
  <c r="G170" i="27"/>
  <c r="F170" i="27"/>
  <c r="E170" i="27"/>
  <c r="G169" i="27"/>
  <c r="F169" i="27"/>
  <c r="E169" i="27"/>
  <c r="G305" i="27"/>
  <c r="F305" i="27"/>
  <c r="G70" i="27"/>
  <c r="F70" i="27"/>
  <c r="E70" i="27"/>
  <c r="G69" i="27"/>
  <c r="F69" i="27"/>
  <c r="E69" i="27"/>
  <c r="G308" i="27"/>
  <c r="G160" i="27"/>
  <c r="F160" i="27"/>
  <c r="G155" i="27"/>
  <c r="F155" i="27"/>
  <c r="G154" i="27"/>
  <c r="F154" i="27"/>
  <c r="G152" i="27"/>
  <c r="F152" i="27"/>
  <c r="G151" i="27"/>
  <c r="F151" i="27"/>
  <c r="G300" i="27"/>
  <c r="F300" i="27"/>
  <c r="G66" i="27"/>
  <c r="F66" i="27"/>
  <c r="G65" i="27"/>
  <c r="F65" i="27"/>
  <c r="G142" i="27"/>
  <c r="F142" i="27"/>
  <c r="G137" i="27"/>
  <c r="F137" i="27"/>
  <c r="E137" i="27"/>
  <c r="G136" i="27"/>
  <c r="F136" i="27"/>
  <c r="E136" i="27"/>
  <c r="G134" i="27"/>
  <c r="F134" i="27"/>
  <c r="G133" i="27"/>
  <c r="F133" i="27"/>
  <c r="G295" i="27"/>
  <c r="F295" i="27"/>
  <c r="G62" i="27"/>
  <c r="F62" i="27"/>
  <c r="G61" i="27"/>
  <c r="F61" i="27"/>
  <c r="J27" i="27"/>
  <c r="E27" i="27"/>
  <c r="J30" i="27"/>
  <c r="E30" i="27"/>
  <c r="E29" i="27"/>
  <c r="J25" i="27"/>
  <c r="E25" i="27"/>
  <c r="J26" i="27"/>
  <c r="E26" i="27"/>
  <c r="J28" i="27"/>
  <c r="E28" i="27"/>
  <c r="G199" i="27"/>
  <c r="F199" i="27"/>
  <c r="E199" i="27"/>
  <c r="E181" i="27"/>
  <c r="G103" i="27"/>
  <c r="F103" i="27"/>
  <c r="E102" i="27"/>
  <c r="G145" i="27"/>
  <c r="E145" i="27"/>
  <c r="J370" i="27"/>
  <c r="E342" i="27"/>
  <c r="F101" i="27"/>
  <c r="E347" i="27"/>
  <c r="J102" i="27"/>
  <c r="E343" i="27"/>
  <c r="F104" i="27"/>
  <c r="E348" i="27"/>
  <c r="E346" i="27"/>
  <c r="E295" i="27"/>
  <c r="G101" i="27"/>
  <c r="G102" i="27"/>
  <c r="J305" i="27"/>
  <c r="J353" i="27"/>
  <c r="E157" i="27"/>
  <c r="E139" i="27"/>
  <c r="E175" i="27"/>
  <c r="J101" i="27"/>
  <c r="J351" i="27"/>
  <c r="E310" i="27"/>
  <c r="J310" i="27"/>
  <c r="E305" i="27"/>
  <c r="E300" i="27"/>
  <c r="F145" i="27" l="1"/>
  <c r="E163" i="27"/>
  <c r="G163" i="27"/>
  <c r="F181" i="27"/>
  <c r="J29" i="27"/>
  <c r="G298" i="27"/>
  <c r="E61" i="27"/>
  <c r="E62" i="27"/>
  <c r="E142" i="27"/>
  <c r="F163" i="27"/>
  <c r="G181" i="27"/>
  <c r="E298" i="27"/>
  <c r="E133" i="27"/>
  <c r="E134" i="27"/>
  <c r="G303" i="27"/>
  <c r="E308" i="27"/>
  <c r="G313" i="27"/>
  <c r="J301" i="27"/>
  <c r="J311" i="27"/>
  <c r="E303" i="27"/>
  <c r="G164" i="27"/>
  <c r="G182" i="27"/>
  <c r="E182" i="27"/>
  <c r="G200" i="27"/>
  <c r="E200" i="27"/>
  <c r="G147" i="27"/>
  <c r="E147" i="27"/>
  <c r="E183" i="27"/>
  <c r="J201" i="27"/>
  <c r="J163" i="27"/>
  <c r="J183" i="27"/>
  <c r="F193" i="27"/>
  <c r="F139" i="27"/>
  <c r="J146" i="27"/>
  <c r="E313" i="27"/>
  <c r="E344" i="27"/>
  <c r="E345" i="27"/>
  <c r="F164" i="27"/>
  <c r="F182" i="27"/>
  <c r="G146" i="27"/>
  <c r="F147" i="27"/>
  <c r="G201" i="27"/>
  <c r="J200" i="27"/>
  <c r="J181" i="27"/>
  <c r="J145" i="27"/>
  <c r="F102" i="27"/>
  <c r="J296" i="27"/>
  <c r="J104" i="27"/>
  <c r="E104" i="27"/>
  <c r="J103" i="27"/>
  <c r="J295" i="27"/>
  <c r="J367" i="27"/>
  <c r="J368" i="27"/>
  <c r="J345" i="27"/>
  <c r="J361" i="27"/>
  <c r="E103" i="27"/>
  <c r="G104" i="27"/>
  <c r="E101" i="27"/>
  <c r="J352" i="27" l="1"/>
  <c r="J80" i="27"/>
  <c r="J79" i="27"/>
  <c r="F175" i="27"/>
  <c r="F157" i="27"/>
  <c r="J306" i="27"/>
  <c r="J78" i="27"/>
  <c r="J77" i="27"/>
  <c r="J344" i="27"/>
  <c r="J360" i="27" l="1"/>
  <c r="J220" i="27" l="1"/>
  <c r="J271" i="27"/>
  <c r="J237" i="27"/>
  <c r="J254" i="27"/>
  <c r="J308" i="27" l="1"/>
  <c r="J303" i="27"/>
  <c r="J298" i="27"/>
  <c r="J275" i="27"/>
  <c r="J224" i="27"/>
  <c r="J241" i="27"/>
  <c r="J258" i="27"/>
  <c r="J313" i="27" l="1"/>
  <c r="J92" i="27"/>
  <c r="J98" i="27" l="1"/>
  <c r="J94" i="27"/>
  <c r="J96" i="27"/>
  <c r="J95" i="27"/>
  <c r="J93" i="27" l="1"/>
  <c r="J99" i="27"/>
  <c r="J97" i="27"/>
  <c r="J179" i="27" l="1"/>
  <c r="J143" i="27"/>
  <c r="J161" i="27" l="1"/>
  <c r="J197" i="27"/>
  <c r="J282" i="27" l="1"/>
  <c r="J265" i="27"/>
  <c r="J248" i="27"/>
  <c r="J231" i="27"/>
  <c r="J186" i="27" l="1"/>
  <c r="J233" i="27"/>
  <c r="J284" i="27"/>
  <c r="J250" i="27"/>
  <c r="J267" i="27"/>
  <c r="J150" i="27" l="1"/>
  <c r="J168" i="27"/>
  <c r="J187" i="27" l="1"/>
  <c r="J151" i="27" l="1"/>
  <c r="J169" i="27"/>
  <c r="J189" i="27"/>
  <c r="J135" i="27"/>
  <c r="J153" i="27"/>
  <c r="J171" i="27"/>
  <c r="J132" i="27"/>
  <c r="J188" i="27" l="1"/>
  <c r="J170" i="27" l="1"/>
  <c r="J152" i="27"/>
  <c r="J272" i="27"/>
  <c r="J270" i="27"/>
  <c r="J253" i="27"/>
  <c r="J236" i="27"/>
  <c r="J154" i="27"/>
  <c r="J190" i="27"/>
  <c r="J172" i="27"/>
  <c r="J136" i="27"/>
  <c r="J133" i="27"/>
  <c r="J238" i="27" l="1"/>
  <c r="J255" i="27"/>
  <c r="J155" i="27" l="1"/>
  <c r="J137" i="27"/>
  <c r="J191" i="27"/>
  <c r="J134" i="27"/>
  <c r="J274" i="27"/>
  <c r="J223" i="27"/>
  <c r="J240" i="27"/>
  <c r="J219" i="27"/>
  <c r="J173" i="27" l="1"/>
  <c r="J242" i="27"/>
  <c r="J225" i="27"/>
  <c r="J276" i="27"/>
  <c r="J221" i="27"/>
  <c r="J257" i="27"/>
  <c r="J259" i="27" l="1"/>
  <c r="J159" i="27" l="1"/>
  <c r="J141" i="27"/>
  <c r="J177" i="27"/>
  <c r="J195" i="27" l="1"/>
  <c r="J178" i="27" l="1"/>
  <c r="J160" i="27"/>
  <c r="J142" i="27"/>
  <c r="J196" i="27" l="1"/>
  <c r="J227" i="27"/>
  <c r="J261" i="27"/>
  <c r="J244" i="27"/>
  <c r="J263" i="27" l="1"/>
  <c r="J229" i="27"/>
  <c r="J278" i="27"/>
  <c r="J246" i="27"/>
  <c r="J280" i="27" l="1"/>
  <c r="J62" i="27" l="1"/>
  <c r="J66" i="27"/>
  <c r="J70" i="27"/>
  <c r="J74" i="27" l="1"/>
  <c r="J57" i="27" l="1"/>
  <c r="J65" i="27"/>
  <c r="J58" i="27"/>
  <c r="J69" i="27"/>
  <c r="J56" i="27"/>
  <c r="J61" i="27"/>
  <c r="J59" i="27" l="1"/>
  <c r="J73" i="27"/>
  <c r="J307" i="27" l="1"/>
  <c r="J297" i="27" l="1"/>
  <c r="J302" i="27"/>
  <c r="J312" i="27"/>
  <c r="J42" i="27" l="1"/>
  <c r="J39" i="27" l="1"/>
  <c r="H428" i="27"/>
  <c r="J38" i="27"/>
  <c r="H427" i="27" l="1"/>
  <c r="H429" i="27"/>
  <c r="I14" i="27" s="1"/>
  <c r="J13" i="27"/>
  <c r="I339" i="27" l="1"/>
  <c r="I337" i="27"/>
  <c r="I216" i="27" l="1"/>
  <c r="I215" i="27"/>
  <c r="I213" i="27"/>
  <c r="I212" i="27"/>
  <c r="I128" i="27"/>
  <c r="I127" i="27"/>
  <c r="I126" i="27"/>
  <c r="I125" i="27"/>
  <c r="I123" i="27"/>
  <c r="I122" i="27"/>
  <c r="I121" i="27"/>
  <c r="I120" i="27"/>
  <c r="I88" i="27"/>
  <c r="E137" i="38"/>
  <c r="E148" i="38" s="1"/>
  <c r="E126" i="38"/>
  <c r="E395" i="27"/>
  <c r="H403" i="27"/>
  <c r="H402" i="27"/>
  <c r="H392" i="27"/>
  <c r="H391" i="27"/>
  <c r="H388" i="27"/>
  <c r="H382" i="27"/>
  <c r="E155" i="48"/>
  <c r="H153" i="48"/>
  <c r="H152" i="48"/>
  <c r="G78" i="62"/>
  <c r="F78" i="62"/>
  <c r="E78" i="62"/>
  <c r="G77" i="62"/>
  <c r="F77" i="62"/>
  <c r="E77" i="62"/>
  <c r="G73" i="62"/>
  <c r="F73" i="62"/>
  <c r="E73" i="62"/>
  <c r="G72" i="62"/>
  <c r="F72" i="62"/>
  <c r="E72" i="62"/>
  <c r="G76" i="40"/>
  <c r="F76" i="40"/>
  <c r="E76" i="40"/>
  <c r="G75" i="40"/>
  <c r="F75" i="40"/>
  <c r="E75" i="40"/>
  <c r="G71" i="40"/>
  <c r="F71" i="40"/>
  <c r="E71" i="40"/>
  <c r="G70" i="40"/>
  <c r="F70" i="40"/>
  <c r="E70" i="40"/>
  <c r="H393" i="27" l="1"/>
  <c r="E189" i="38"/>
  <c r="E211" i="38" s="1"/>
  <c r="E159" i="38"/>
  <c r="E170" i="38" l="1"/>
  <c r="E200" i="38"/>
  <c r="J339" i="27" l="1"/>
  <c r="J338" i="27"/>
  <c r="J337" i="27"/>
  <c r="J336" i="27"/>
  <c r="J335" i="27"/>
  <c r="J334" i="27"/>
  <c r="J333" i="27"/>
  <c r="J332" i="27"/>
  <c r="J331" i="27"/>
  <c r="J330" i="27"/>
  <c r="E339" i="27"/>
  <c r="E338" i="27"/>
  <c r="E337" i="27"/>
  <c r="E336" i="27"/>
  <c r="E335" i="27"/>
  <c r="E334" i="27"/>
  <c r="E333" i="27"/>
  <c r="E332" i="27"/>
  <c r="E331" i="27"/>
  <c r="E330" i="27"/>
  <c r="J293" i="27"/>
  <c r="I293" i="27" s="1"/>
  <c r="J292" i="27"/>
  <c r="E293" i="27"/>
  <c r="E292" i="27"/>
  <c r="E291" i="27"/>
  <c r="J213" i="27"/>
  <c r="J212" i="27"/>
  <c r="E216" i="27"/>
  <c r="E215" i="27"/>
  <c r="E213" i="27"/>
  <c r="E212" i="27"/>
  <c r="J128" i="27"/>
  <c r="J127" i="27"/>
  <c r="J126" i="27"/>
  <c r="J125" i="27"/>
  <c r="J123" i="27"/>
  <c r="J121" i="27"/>
  <c r="J120" i="27"/>
  <c r="E128" i="27"/>
  <c r="E127" i="27"/>
  <c r="E126" i="27"/>
  <c r="E125" i="27"/>
  <c r="E123" i="27"/>
  <c r="E121" i="27"/>
  <c r="E120" i="27"/>
  <c r="J90" i="27"/>
  <c r="J88" i="27"/>
  <c r="E90" i="27"/>
  <c r="E88" i="27"/>
  <c r="E51" i="27"/>
  <c r="E50" i="27"/>
  <c r="J327" i="27"/>
  <c r="J326" i="27"/>
  <c r="J325" i="27"/>
  <c r="J324" i="27"/>
  <c r="J323" i="27"/>
  <c r="J322" i="27"/>
  <c r="J321" i="27"/>
  <c r="J320" i="27"/>
  <c r="J319" i="27"/>
  <c r="J318" i="27"/>
  <c r="E327" i="27"/>
  <c r="E326" i="27"/>
  <c r="E325" i="27"/>
  <c r="E324" i="27"/>
  <c r="E323" i="27"/>
  <c r="E322" i="27"/>
  <c r="E321" i="27"/>
  <c r="E320" i="27"/>
  <c r="E319" i="27"/>
  <c r="E318" i="27"/>
  <c r="J289" i="27"/>
  <c r="I289" i="27" s="1"/>
  <c r="J288" i="27"/>
  <c r="E289" i="27"/>
  <c r="E288" i="27"/>
  <c r="E287" i="27"/>
  <c r="J206" i="27"/>
  <c r="J205" i="27"/>
  <c r="E209" i="27"/>
  <c r="E208" i="27"/>
  <c r="E206" i="27"/>
  <c r="E205" i="27"/>
  <c r="J116" i="27"/>
  <c r="J115" i="27"/>
  <c r="J114" i="27"/>
  <c r="J113" i="27"/>
  <c r="J111" i="27"/>
  <c r="J109" i="27"/>
  <c r="J108" i="27"/>
  <c r="E116" i="27"/>
  <c r="E115" i="27"/>
  <c r="E114" i="27"/>
  <c r="E113" i="27"/>
  <c r="E111" i="27"/>
  <c r="E109" i="27"/>
  <c r="E108" i="27"/>
  <c r="J89" i="27"/>
  <c r="J87" i="27"/>
  <c r="E89" i="27"/>
  <c r="E87" i="27"/>
  <c r="E49" i="27"/>
  <c r="E48" i="27"/>
  <c r="E46" i="27"/>
  <c r="E45" i="27"/>
  <c r="E36" i="27"/>
  <c r="E35" i="27"/>
  <c r="E11" i="27"/>
  <c r="E10" i="27"/>
  <c r="J122" i="27"/>
  <c r="E122" i="27"/>
  <c r="J110" i="27"/>
  <c r="E110" i="27"/>
  <c r="J54" i="27"/>
  <c r="J53" i="27"/>
  <c r="E54" i="27"/>
  <c r="E53" i="27"/>
  <c r="J23" i="27"/>
  <c r="J22" i="27"/>
  <c r="J21" i="27"/>
  <c r="J20" i="27"/>
  <c r="J19" i="27"/>
  <c r="J18" i="27"/>
  <c r="E23" i="27"/>
  <c r="E22" i="27"/>
  <c r="E21" i="27"/>
  <c r="E20" i="27"/>
  <c r="E19" i="27"/>
  <c r="E18" i="27"/>
  <c r="F30" i="53"/>
  <c r="E30" i="53"/>
  <c r="F29" i="53"/>
  <c r="E29" i="53"/>
  <c r="J216" i="27" l="1"/>
  <c r="J215" i="27"/>
  <c r="J208" i="27" l="1"/>
  <c r="J209" i="27" l="1"/>
  <c r="J287" i="27" l="1"/>
  <c r="J291" i="27" l="1"/>
  <c r="J48" i="27"/>
  <c r="J49" i="27" l="1"/>
  <c r="J50" i="27"/>
  <c r="J45" i="27" l="1"/>
  <c r="J51" i="27"/>
  <c r="J46" i="27" l="1"/>
  <c r="J35" i="27" l="1"/>
  <c r="J36" i="27" l="1"/>
  <c r="J10" i="27"/>
  <c r="J11" i="27"/>
  <c r="F283" i="27" l="1"/>
  <c r="G279" i="27"/>
  <c r="G283" i="27"/>
  <c r="F279" i="27"/>
  <c r="F266" i="27"/>
  <c r="G266" i="27"/>
  <c r="G262" i="27"/>
  <c r="F262" i="27"/>
  <c r="F249" i="27"/>
  <c r="G245" i="27"/>
  <c r="F245" i="27"/>
  <c r="G249" i="27"/>
  <c r="E249" i="27" l="1"/>
  <c r="E266" i="27"/>
  <c r="E279" i="27"/>
  <c r="E245" i="27"/>
  <c r="E262" i="27"/>
  <c r="E283" i="27"/>
  <c r="J245" i="27" l="1"/>
  <c r="H237" i="27"/>
  <c r="J262" i="27"/>
  <c r="H254" i="27"/>
  <c r="H241" i="27"/>
  <c r="J249" i="27"/>
  <c r="H258" i="27"/>
  <c r="J266" i="27"/>
  <c r="J279" i="27"/>
  <c r="H271" i="27"/>
  <c r="J283" i="27"/>
  <c r="H275" i="27"/>
  <c r="H262" i="27" l="1"/>
  <c r="H283" i="27"/>
  <c r="H249" i="27"/>
  <c r="H266" i="27"/>
  <c r="H279" i="27"/>
  <c r="H245" i="27"/>
  <c r="H265" i="27"/>
  <c r="H282" i="27"/>
  <c r="H248" i="27"/>
  <c r="H284" i="27" l="1"/>
  <c r="H267" i="27"/>
  <c r="H250" i="27"/>
  <c r="H253" i="27" l="1"/>
  <c r="H236" i="27"/>
  <c r="H270" i="27"/>
  <c r="H255" i="27" l="1"/>
  <c r="H257" i="27"/>
  <c r="H272" i="27"/>
  <c r="H240" i="27"/>
  <c r="H238" i="27"/>
  <c r="H274" i="27"/>
  <c r="H276" i="27" l="1"/>
  <c r="H242" i="27"/>
  <c r="H259" i="27"/>
  <c r="H244" i="27" l="1"/>
  <c r="H246" i="27" l="1"/>
  <c r="H278" i="27"/>
  <c r="H261" i="27"/>
  <c r="H280" i="27" l="1"/>
  <c r="H263" i="27"/>
  <c r="G210" i="31" l="1"/>
  <c r="F210" i="31"/>
  <c r="G44" i="38" l="1"/>
  <c r="F44" i="38"/>
  <c r="E210" i="31" l="1"/>
  <c r="F38" i="53"/>
  <c r="G35" i="38" l="1"/>
  <c r="F35" i="38"/>
  <c r="E35" i="38"/>
  <c r="E44" i="38"/>
  <c r="D41" i="27"/>
  <c r="D35" i="38" s="1"/>
  <c r="F200" i="31"/>
  <c r="G200" i="31"/>
  <c r="H84" i="27"/>
  <c r="H200" i="31" s="1"/>
  <c r="F23" i="31"/>
  <c r="G23" i="31"/>
  <c r="E18" i="40" l="1"/>
  <c r="F18" i="40"/>
  <c r="G18" i="40"/>
  <c r="E19" i="40"/>
  <c r="F19" i="40"/>
  <c r="G19" i="40"/>
  <c r="E20" i="40"/>
  <c r="F20" i="40"/>
  <c r="G20" i="40"/>
  <c r="E21" i="40"/>
  <c r="F21" i="40"/>
  <c r="G21" i="40"/>
  <c r="D75" i="27"/>
  <c r="D21" i="40" s="1"/>
  <c r="D74" i="27"/>
  <c r="D73" i="27"/>
  <c r="D71" i="27"/>
  <c r="D20" i="40" s="1"/>
  <c r="D70" i="27"/>
  <c r="D69" i="27"/>
  <c r="D67" i="27"/>
  <c r="D19" i="40" s="1"/>
  <c r="D66" i="27"/>
  <c r="D65" i="27"/>
  <c r="D63" i="27"/>
  <c r="D18" i="40" s="1"/>
  <c r="D62" i="27"/>
  <c r="D61" i="27"/>
  <c r="H62" i="27" l="1"/>
  <c r="H74" i="27"/>
  <c r="H66" i="27"/>
  <c r="H70" i="27"/>
  <c r="H73" i="27" l="1"/>
  <c r="H75" i="27" s="1"/>
  <c r="H21" i="40" s="1"/>
  <c r="H69" i="27"/>
  <c r="H71" i="27" s="1"/>
  <c r="H20" i="40" s="1"/>
  <c r="H61" i="27"/>
  <c r="H63" i="27" s="1"/>
  <c r="H18" i="40" s="1"/>
  <c r="H65" i="27"/>
  <c r="H67" i="27" s="1"/>
  <c r="H19" i="40" s="1"/>
  <c r="H74" i="31" l="1"/>
  <c r="H301" i="31"/>
  <c r="H251" i="31"/>
  <c r="D175" i="27"/>
  <c r="D251" i="31" s="1"/>
  <c r="H124" i="31"/>
  <c r="D193" i="27"/>
  <c r="D301" i="31" s="1"/>
  <c r="D157" i="27"/>
  <c r="D124" i="31" s="1"/>
  <c r="D139" i="27"/>
  <c r="D74" i="31" s="1"/>
  <c r="G251" i="31" l="1"/>
  <c r="G301" i="31"/>
  <c r="E301" i="31"/>
  <c r="G74" i="31"/>
  <c r="E251" i="31"/>
  <c r="E74" i="31"/>
  <c r="F251" i="31" l="1"/>
  <c r="E124" i="31"/>
  <c r="F74" i="31"/>
  <c r="F301" i="31"/>
  <c r="G124" i="31"/>
  <c r="F124" i="31" l="1"/>
  <c r="G32" i="31" l="1"/>
  <c r="F32" i="31"/>
  <c r="E32" i="31"/>
  <c r="G209" i="31"/>
  <c r="F209" i="31"/>
  <c r="E209" i="31"/>
  <c r="G206" i="31"/>
  <c r="F206" i="31"/>
  <c r="E206" i="31"/>
  <c r="G205" i="31"/>
  <c r="F205" i="31"/>
  <c r="E205" i="31"/>
  <c r="G214" i="31" l="1"/>
  <c r="F214" i="31"/>
  <c r="E214" i="31"/>
  <c r="G218" i="31"/>
  <c r="F218" i="31"/>
  <c r="E218" i="31"/>
  <c r="D211" i="31"/>
  <c r="D218" i="31" s="1"/>
  <c r="D207" i="31"/>
  <c r="D209" i="31" s="1"/>
  <c r="H204" i="31"/>
  <c r="G204" i="31"/>
  <c r="E204" i="31"/>
  <c r="D202" i="31"/>
  <c r="D205" i="31" s="1"/>
  <c r="G201" i="31"/>
  <c r="F201" i="31"/>
  <c r="E200" i="31"/>
  <c r="G29" i="31"/>
  <c r="F29" i="31"/>
  <c r="E29" i="31"/>
  <c r="E201" i="31"/>
  <c r="D129" i="27"/>
  <c r="D206" i="31" s="1"/>
  <c r="D128" i="27"/>
  <c r="D127" i="27"/>
  <c r="D126" i="27"/>
  <c r="D125" i="27"/>
  <c r="D117" i="27"/>
  <c r="D29" i="31" s="1"/>
  <c r="D113" i="27"/>
  <c r="D114" i="27"/>
  <c r="D115" i="27"/>
  <c r="D116" i="27"/>
  <c r="D214" i="31" l="1"/>
  <c r="H125" i="27" l="1"/>
  <c r="H126" i="27" l="1"/>
  <c r="H114" i="27"/>
  <c r="H115" i="27" l="1"/>
  <c r="H127" i="27"/>
  <c r="H116" i="27" l="1"/>
  <c r="H128" i="27" l="1"/>
  <c r="H129" i="27" s="1"/>
  <c r="H206" i="31" s="1"/>
  <c r="H113" i="27" l="1"/>
  <c r="H117" i="27" s="1"/>
  <c r="H29" i="31" s="1"/>
  <c r="E41" i="31" l="1"/>
  <c r="E37" i="31"/>
  <c r="G37" i="31"/>
  <c r="F37" i="31"/>
  <c r="G28" i="31"/>
  <c r="F28" i="31"/>
  <c r="E28" i="31"/>
  <c r="D30" i="31"/>
  <c r="D32" i="31" s="1"/>
  <c r="H27" i="31"/>
  <c r="G27" i="31"/>
  <c r="E27" i="31"/>
  <c r="D25" i="31"/>
  <c r="G24" i="31"/>
  <c r="F24" i="31"/>
  <c r="E23" i="31"/>
  <c r="D28" i="31" l="1"/>
  <c r="D37" i="31"/>
  <c r="G553" i="31" l="1"/>
  <c r="F553" i="31"/>
  <c r="E553" i="31"/>
  <c r="G552" i="31"/>
  <c r="F552" i="31"/>
  <c r="E552" i="31"/>
  <c r="G546" i="31"/>
  <c r="F546" i="31"/>
  <c r="E546" i="31"/>
  <c r="G545" i="31"/>
  <c r="F545" i="31"/>
  <c r="E545" i="31"/>
  <c r="G540" i="31"/>
  <c r="G548" i="31" s="1"/>
  <c r="F540" i="31"/>
  <c r="F548" i="31" s="1"/>
  <c r="E540" i="31"/>
  <c r="E548" i="31" s="1"/>
  <c r="G532" i="31"/>
  <c r="F532" i="31"/>
  <c r="G531" i="31"/>
  <c r="F531" i="31"/>
  <c r="E532" i="31"/>
  <c r="E531" i="31"/>
  <c r="G526" i="31"/>
  <c r="F526" i="31"/>
  <c r="E526" i="31"/>
  <c r="G520" i="31"/>
  <c r="F520" i="31"/>
  <c r="E520" i="31"/>
  <c r="G515" i="31"/>
  <c r="F515" i="31"/>
  <c r="E515" i="31"/>
  <c r="G514" i="31"/>
  <c r="F514" i="31"/>
  <c r="E514" i="31"/>
  <c r="G509" i="31"/>
  <c r="F509" i="31"/>
  <c r="E509" i="31"/>
  <c r="G479" i="31"/>
  <c r="F479" i="31"/>
  <c r="E479" i="31"/>
  <c r="G459" i="31"/>
  <c r="F459" i="31"/>
  <c r="G458" i="31"/>
  <c r="F458" i="31"/>
  <c r="E459" i="31"/>
  <c r="E458" i="31"/>
  <c r="G454" i="31"/>
  <c r="F454" i="31"/>
  <c r="E454" i="31"/>
  <c r="G449" i="31"/>
  <c r="F449" i="31"/>
  <c r="E449" i="31"/>
  <c r="G445" i="31"/>
  <c r="F445" i="31"/>
  <c r="E445" i="31"/>
  <c r="G444" i="31"/>
  <c r="F444" i="31"/>
  <c r="E444" i="31"/>
  <c r="G411" i="31"/>
  <c r="F411" i="31"/>
  <c r="E411" i="31"/>
  <c r="G387" i="31"/>
  <c r="F387" i="31"/>
  <c r="E387" i="31"/>
  <c r="G386" i="31"/>
  <c r="F386" i="31"/>
  <c r="E386" i="31"/>
  <c r="G380" i="31"/>
  <c r="F380" i="31"/>
  <c r="E380" i="31"/>
  <c r="G379" i="31"/>
  <c r="F379" i="31"/>
  <c r="E379" i="31"/>
  <c r="G260" i="31"/>
  <c r="F260" i="31"/>
  <c r="E260" i="31"/>
  <c r="G256" i="31"/>
  <c r="F256" i="31"/>
  <c r="E256" i="31"/>
  <c r="G183" i="31"/>
  <c r="F183" i="31"/>
  <c r="G182" i="31"/>
  <c r="F182" i="31"/>
  <c r="E183" i="31"/>
  <c r="E182" i="31"/>
  <c r="G178" i="31"/>
  <c r="F178" i="31"/>
  <c r="E178" i="31"/>
  <c r="G173" i="31"/>
  <c r="F173" i="31"/>
  <c r="E173" i="31"/>
  <c r="G169" i="31"/>
  <c r="F169" i="31"/>
  <c r="E169" i="31"/>
  <c r="G168" i="31"/>
  <c r="F168" i="31"/>
  <c r="E168" i="31"/>
  <c r="G164" i="31"/>
  <c r="F164" i="31"/>
  <c r="E164" i="31"/>
  <c r="G142" i="31"/>
  <c r="F142" i="31"/>
  <c r="E142" i="31"/>
  <c r="G141" i="31"/>
  <c r="F141" i="31"/>
  <c r="E141" i="31"/>
  <c r="G137" i="31"/>
  <c r="F137" i="31"/>
  <c r="E137" i="31"/>
  <c r="G133" i="31"/>
  <c r="G138" i="31" s="1"/>
  <c r="F133" i="31"/>
  <c r="F138" i="31" s="1"/>
  <c r="E133" i="31"/>
  <c r="E138" i="31" s="1"/>
  <c r="G129" i="31"/>
  <c r="F129" i="31"/>
  <c r="E129" i="31"/>
  <c r="G126" i="31"/>
  <c r="F126" i="31"/>
  <c r="E126" i="31"/>
  <c r="G92" i="31"/>
  <c r="F92" i="31"/>
  <c r="E92" i="31"/>
  <c r="G91" i="31"/>
  <c r="F91" i="31"/>
  <c r="E91" i="31"/>
  <c r="G88" i="31"/>
  <c r="F88" i="31"/>
  <c r="E88" i="31"/>
  <c r="G155" i="56" l="1"/>
  <c r="F155" i="56"/>
  <c r="E155" i="56"/>
  <c r="G154" i="56"/>
  <c r="F154" i="56"/>
  <c r="E154" i="56"/>
  <c r="G148" i="56"/>
  <c r="F148" i="56"/>
  <c r="E148" i="56"/>
  <c r="G147" i="56"/>
  <c r="F147" i="56"/>
  <c r="E147" i="56"/>
  <c r="G143" i="56"/>
  <c r="G157" i="56" s="1"/>
  <c r="F143" i="56"/>
  <c r="F157" i="56" s="1"/>
  <c r="G142" i="56"/>
  <c r="G150" i="56" s="1"/>
  <c r="F142" i="56"/>
  <c r="F150" i="56" s="1"/>
  <c r="E143" i="56"/>
  <c r="E157" i="56" s="1"/>
  <c r="E142" i="56"/>
  <c r="E150" i="56" s="1"/>
  <c r="G139" i="56"/>
  <c r="G156" i="56" s="1"/>
  <c r="F139" i="56"/>
  <c r="F156" i="56" s="1"/>
  <c r="G138" i="56"/>
  <c r="G149" i="56" s="1"/>
  <c r="F138" i="56"/>
  <c r="F149" i="56" s="1"/>
  <c r="E139" i="56"/>
  <c r="E156" i="56" s="1"/>
  <c r="E138" i="56"/>
  <c r="E149" i="56" s="1"/>
  <c r="G133" i="56"/>
  <c r="F133" i="56"/>
  <c r="G132" i="56"/>
  <c r="F132" i="56"/>
  <c r="E133" i="56"/>
  <c r="E132" i="56"/>
  <c r="G127" i="56"/>
  <c r="F127" i="56"/>
  <c r="E127" i="56"/>
  <c r="G126" i="56"/>
  <c r="F126" i="56"/>
  <c r="E126" i="56"/>
  <c r="G121" i="56"/>
  <c r="F121" i="56"/>
  <c r="E121" i="56"/>
  <c r="G120" i="56"/>
  <c r="F120" i="56"/>
  <c r="E120" i="56"/>
  <c r="G116" i="56"/>
  <c r="F116" i="56"/>
  <c r="E116" i="56"/>
  <c r="G115" i="56"/>
  <c r="F115" i="56"/>
  <c r="E115" i="56"/>
  <c r="G110" i="56"/>
  <c r="F110" i="56"/>
  <c r="E110" i="56"/>
  <c r="G109" i="56"/>
  <c r="F109" i="56"/>
  <c r="E109" i="56"/>
  <c r="G104" i="56"/>
  <c r="F104" i="56"/>
  <c r="E104" i="56"/>
  <c r="G103" i="56"/>
  <c r="F103" i="56"/>
  <c r="E103" i="56"/>
  <c r="G67" i="56"/>
  <c r="F67" i="56"/>
  <c r="G66" i="56"/>
  <c r="F66" i="56"/>
  <c r="E67" i="56"/>
  <c r="E66" i="56"/>
  <c r="G62" i="56"/>
  <c r="F62" i="56"/>
  <c r="E62" i="56"/>
  <c r="G61" i="56"/>
  <c r="F61" i="56"/>
  <c r="E61" i="56"/>
  <c r="G57" i="56"/>
  <c r="F57" i="56"/>
  <c r="E57" i="56"/>
  <c r="G56" i="56"/>
  <c r="F56" i="56"/>
  <c r="E56" i="56"/>
  <c r="G53" i="56"/>
  <c r="F53" i="56"/>
  <c r="E53" i="56"/>
  <c r="G52" i="56"/>
  <c r="F52" i="56"/>
  <c r="E52" i="56"/>
  <c r="G48" i="56"/>
  <c r="F48" i="56"/>
  <c r="E48" i="56"/>
  <c r="G47" i="56"/>
  <c r="F47" i="56"/>
  <c r="E47" i="56"/>
  <c r="G43" i="56"/>
  <c r="F43" i="56"/>
  <c r="E43" i="56"/>
  <c r="G42" i="56"/>
  <c r="F42" i="56"/>
  <c r="E42" i="56"/>
  <c r="H95" i="56"/>
  <c r="H91" i="56"/>
  <c r="H87" i="56"/>
  <c r="H83" i="56"/>
  <c r="H78" i="56"/>
  <c r="H74" i="56"/>
  <c r="H34" i="56"/>
  <c r="H30" i="56"/>
  <c r="H26" i="56"/>
  <c r="H22" i="56"/>
  <c r="H17" i="56"/>
  <c r="H13" i="56"/>
  <c r="G63" i="40"/>
  <c r="F63" i="40"/>
  <c r="E63" i="40"/>
  <c r="G62" i="40"/>
  <c r="F62" i="40"/>
  <c r="E62" i="40"/>
  <c r="G59" i="40"/>
  <c r="F59" i="40"/>
  <c r="E59" i="40"/>
  <c r="G58" i="40"/>
  <c r="F58" i="40"/>
  <c r="E58" i="40"/>
  <c r="G57" i="40"/>
  <c r="F57" i="40"/>
  <c r="E57" i="40"/>
  <c r="G33" i="40"/>
  <c r="F33" i="40"/>
  <c r="E33" i="40"/>
  <c r="G32" i="40"/>
  <c r="F32" i="40"/>
  <c r="E32" i="40"/>
  <c r="G65" i="62"/>
  <c r="F65" i="62"/>
  <c r="E65" i="62"/>
  <c r="G23" i="33"/>
  <c r="F23" i="33"/>
  <c r="E23" i="33"/>
  <c r="G22" i="33"/>
  <c r="F22" i="33"/>
  <c r="E22" i="33"/>
  <c r="G146" i="48"/>
  <c r="F146" i="48"/>
  <c r="G145" i="48"/>
  <c r="F145" i="48"/>
  <c r="E146" i="48"/>
  <c r="E145" i="48"/>
  <c r="G141" i="48"/>
  <c r="F141" i="48"/>
  <c r="E141" i="48"/>
  <c r="E160" i="48" s="1"/>
  <c r="G140" i="48"/>
  <c r="F140" i="48"/>
  <c r="E140" i="48"/>
  <c r="G137" i="48"/>
  <c r="F137" i="48"/>
  <c r="G136" i="48"/>
  <c r="F136" i="48"/>
  <c r="E137" i="48"/>
  <c r="E136" i="48"/>
  <c r="G132" i="48"/>
  <c r="F132" i="48"/>
  <c r="E132" i="48"/>
  <c r="E176" i="38" s="1"/>
  <c r="G127" i="48"/>
  <c r="F127" i="48"/>
  <c r="E127" i="48"/>
  <c r="E177" i="38" s="1"/>
  <c r="G126" i="48"/>
  <c r="F126" i="48"/>
  <c r="E126" i="48"/>
  <c r="G118" i="48"/>
  <c r="F118" i="48"/>
  <c r="E118" i="48"/>
  <c r="G117" i="48"/>
  <c r="F117" i="48"/>
  <c r="E117" i="48"/>
  <c r="G120" i="48"/>
  <c r="F120" i="48"/>
  <c r="E120" i="48"/>
  <c r="G110" i="48"/>
  <c r="F110" i="48"/>
  <c r="E110" i="48"/>
  <c r="G109" i="48"/>
  <c r="F109" i="48"/>
  <c r="E109" i="48"/>
  <c r="G106" i="48"/>
  <c r="F106" i="48"/>
  <c r="G105" i="48"/>
  <c r="F105" i="48"/>
  <c r="E106" i="48"/>
  <c r="E105" i="48"/>
  <c r="G102" i="48"/>
  <c r="F102" i="48"/>
  <c r="E102" i="48"/>
  <c r="E172" i="38" s="1"/>
  <c r="G92" i="48"/>
  <c r="F92" i="48"/>
  <c r="E92" i="48"/>
  <c r="G90" i="48"/>
  <c r="F90" i="48"/>
  <c r="E90" i="48"/>
  <c r="G89" i="48"/>
  <c r="F89" i="48"/>
  <c r="E89" i="48"/>
  <c r="G59" i="48"/>
  <c r="F59" i="48"/>
  <c r="E59" i="48"/>
  <c r="G58" i="48"/>
  <c r="F58" i="48"/>
  <c r="E58" i="48"/>
  <c r="G55" i="48"/>
  <c r="F55" i="48"/>
  <c r="E55" i="48"/>
  <c r="G54" i="48"/>
  <c r="F54" i="48"/>
  <c r="E54" i="48"/>
  <c r="G29" i="48"/>
  <c r="F29" i="48"/>
  <c r="E29" i="48"/>
  <c r="G28" i="48"/>
  <c r="F28" i="48"/>
  <c r="E28" i="48"/>
  <c r="G25" i="48"/>
  <c r="F25" i="48"/>
  <c r="E25" i="48"/>
  <c r="G24" i="48"/>
  <c r="F24" i="48"/>
  <c r="E24" i="48"/>
  <c r="G120" i="38"/>
  <c r="F120" i="38"/>
  <c r="G119" i="38"/>
  <c r="F119" i="38"/>
  <c r="E120" i="38"/>
  <c r="E119" i="38"/>
  <c r="G103" i="38"/>
  <c r="F103" i="38"/>
  <c r="E103" i="38"/>
  <c r="G90" i="38"/>
  <c r="F90" i="38"/>
  <c r="G89" i="38"/>
  <c r="F89" i="38"/>
  <c r="E90" i="38"/>
  <c r="E89" i="38"/>
  <c r="G55" i="38"/>
  <c r="G95" i="38" s="1"/>
  <c r="F55" i="38"/>
  <c r="F95" i="38" s="1"/>
  <c r="E55" i="38"/>
  <c r="G40" i="38"/>
  <c r="F40" i="38"/>
  <c r="E40" i="38"/>
  <c r="G32" i="38"/>
  <c r="F32" i="38"/>
  <c r="E32" i="38"/>
  <c r="G21" i="38"/>
  <c r="F21" i="38"/>
  <c r="E21" i="38"/>
  <c r="G23" i="38"/>
  <c r="F23" i="38"/>
  <c r="E23" i="38"/>
  <c r="H15" i="38"/>
  <c r="H11" i="38"/>
  <c r="H74" i="48"/>
  <c r="H70" i="48"/>
  <c r="H66" i="48"/>
  <c r="H62" i="48"/>
  <c r="H36" i="48"/>
  <c r="H32" i="48"/>
  <c r="H10" i="62"/>
  <c r="H25" i="40"/>
  <c r="G365" i="31"/>
  <c r="F365" i="31"/>
  <c r="G364" i="31"/>
  <c r="F364" i="31"/>
  <c r="E365" i="31"/>
  <c r="E364" i="31"/>
  <c r="G359" i="31"/>
  <c r="F359" i="31"/>
  <c r="E359" i="31"/>
  <c r="G353" i="31"/>
  <c r="F353" i="31"/>
  <c r="E353" i="31"/>
  <c r="E347" i="31"/>
  <c r="F347" i="31"/>
  <c r="G347" i="31"/>
  <c r="E348" i="31"/>
  <c r="F348" i="31"/>
  <c r="G348" i="31"/>
  <c r="G342" i="31"/>
  <c r="F342" i="31"/>
  <c r="E342" i="31"/>
  <c r="E331" i="31"/>
  <c r="F331" i="31"/>
  <c r="G331" i="31"/>
  <c r="E332" i="31"/>
  <c r="F332" i="31"/>
  <c r="G332" i="31"/>
  <c r="E333" i="31"/>
  <c r="F333" i="31"/>
  <c r="G333" i="31"/>
  <c r="E334" i="31"/>
  <c r="F334" i="31"/>
  <c r="G334" i="31"/>
  <c r="E335" i="31"/>
  <c r="F335" i="31"/>
  <c r="G335" i="31"/>
  <c r="E336" i="31"/>
  <c r="F336" i="31"/>
  <c r="G336" i="31"/>
  <c r="E323" i="31"/>
  <c r="F323" i="31"/>
  <c r="G323" i="31"/>
  <c r="E324" i="31"/>
  <c r="F324" i="31"/>
  <c r="G324" i="31"/>
  <c r="E325" i="31"/>
  <c r="F325" i="31"/>
  <c r="G325" i="31"/>
  <c r="E326" i="31"/>
  <c r="F326" i="31"/>
  <c r="G326" i="31"/>
  <c r="E327" i="31"/>
  <c r="F327" i="31"/>
  <c r="G327" i="31"/>
  <c r="E328" i="31"/>
  <c r="F328" i="31"/>
  <c r="G328" i="31"/>
  <c r="E318" i="31"/>
  <c r="F318" i="31"/>
  <c r="G318" i="31"/>
  <c r="E319" i="31"/>
  <c r="F319" i="31"/>
  <c r="G319" i="31"/>
  <c r="E314" i="31"/>
  <c r="F314" i="31"/>
  <c r="G314" i="31"/>
  <c r="G310" i="31"/>
  <c r="G315" i="31" s="1"/>
  <c r="F310" i="31"/>
  <c r="F315" i="31" s="1"/>
  <c r="E310" i="31"/>
  <c r="E315" i="31" s="1"/>
  <c r="G306" i="31"/>
  <c r="F306" i="31"/>
  <c r="E306" i="31"/>
  <c r="G303" i="31"/>
  <c r="F303" i="31"/>
  <c r="E303" i="31"/>
  <c r="E268" i="31"/>
  <c r="F268" i="31"/>
  <c r="G268" i="31"/>
  <c r="E269" i="31"/>
  <c r="F269" i="31"/>
  <c r="G269" i="31"/>
  <c r="E264" i="31"/>
  <c r="F264" i="31"/>
  <c r="G264" i="31"/>
  <c r="G253" i="31"/>
  <c r="F253" i="31"/>
  <c r="E253" i="31"/>
  <c r="E213" i="31"/>
  <c r="F213" i="31"/>
  <c r="G213" i="31"/>
  <c r="E217" i="31"/>
  <c r="F217" i="31"/>
  <c r="G217" i="31"/>
  <c r="E154" i="31"/>
  <c r="F154" i="31"/>
  <c r="G154" i="31"/>
  <c r="E155" i="31"/>
  <c r="F155" i="31"/>
  <c r="G155" i="31"/>
  <c r="E156" i="31"/>
  <c r="F156" i="31"/>
  <c r="G156" i="31"/>
  <c r="E157" i="31"/>
  <c r="F157" i="31"/>
  <c r="G157" i="31"/>
  <c r="E158" i="31"/>
  <c r="F158" i="31"/>
  <c r="G158" i="31"/>
  <c r="E159" i="31"/>
  <c r="F159" i="31"/>
  <c r="G159" i="31"/>
  <c r="E146" i="31"/>
  <c r="F146" i="31"/>
  <c r="G146" i="31"/>
  <c r="E147" i="31"/>
  <c r="F147" i="31"/>
  <c r="G147" i="31"/>
  <c r="E148" i="31"/>
  <c r="F148" i="31"/>
  <c r="G148" i="31"/>
  <c r="E149" i="31"/>
  <c r="F149" i="31"/>
  <c r="G149" i="31"/>
  <c r="E150" i="31"/>
  <c r="F150" i="31"/>
  <c r="G150" i="31"/>
  <c r="E151" i="31"/>
  <c r="F151" i="31"/>
  <c r="G151" i="31"/>
  <c r="F125" i="31"/>
  <c r="D84" i="27"/>
  <c r="D200" i="31" s="1"/>
  <c r="H495" i="31"/>
  <c r="H470" i="31"/>
  <c r="H478" i="31"/>
  <c r="H484" i="31"/>
  <c r="H427" i="31"/>
  <c r="H416" i="31"/>
  <c r="H410" i="31"/>
  <c r="H402" i="31"/>
  <c r="H295" i="31"/>
  <c r="H291" i="31"/>
  <c r="H287" i="31"/>
  <c r="H282" i="31"/>
  <c r="H278" i="31"/>
  <c r="H273" i="31"/>
  <c r="H245" i="31"/>
  <c r="H241" i="31"/>
  <c r="H237" i="31"/>
  <c r="H232" i="31"/>
  <c r="H228" i="31"/>
  <c r="H223" i="31"/>
  <c r="H194" i="31"/>
  <c r="H190" i="31"/>
  <c r="H118" i="31"/>
  <c r="H114" i="31"/>
  <c r="H110" i="31"/>
  <c r="H105" i="31"/>
  <c r="H101" i="31"/>
  <c r="H96" i="31"/>
  <c r="H68" i="31"/>
  <c r="H64" i="31"/>
  <c r="H60" i="31"/>
  <c r="H55" i="31"/>
  <c r="H51" i="31"/>
  <c r="H46" i="31"/>
  <c r="H17" i="31"/>
  <c r="H13" i="31"/>
  <c r="D232" i="27"/>
  <c r="D30" i="53"/>
  <c r="D29" i="53"/>
  <c r="D32" i="53"/>
  <c r="D33" i="53"/>
  <c r="E95" i="38" l="1"/>
  <c r="E135" i="38"/>
  <c r="E146" i="38" s="1"/>
  <c r="H23" i="31"/>
  <c r="D23" i="31"/>
  <c r="G53" i="53"/>
  <c r="G54" i="53"/>
  <c r="E54" i="53"/>
  <c r="E53" i="53"/>
  <c r="E157" i="38" l="1"/>
  <c r="E187" i="38"/>
  <c r="E209" i="38" s="1"/>
  <c r="F51" i="53"/>
  <c r="F54" i="53" s="1"/>
  <c r="F46" i="53"/>
  <c r="F53" i="53" s="1"/>
  <c r="E168" i="38" l="1"/>
  <c r="E198" i="38"/>
  <c r="F55" i="53"/>
  <c r="G232" i="27"/>
  <c r="F232" i="27"/>
  <c r="E232" i="27"/>
  <c r="G228" i="27"/>
  <c r="F228" i="27"/>
  <c r="E228" i="27"/>
  <c r="G36" i="38"/>
  <c r="F36" i="38"/>
  <c r="E36" i="38"/>
  <c r="F27" i="31" l="1"/>
  <c r="H395" i="27"/>
  <c r="H397" i="27" s="1"/>
  <c r="F155" i="48"/>
  <c r="F204" i="31"/>
  <c r="G107" i="38"/>
  <c r="E107" i="38"/>
  <c r="F107" i="38"/>
  <c r="D266" i="27"/>
  <c r="F422" i="31"/>
  <c r="G501" i="31"/>
  <c r="F501" i="31"/>
  <c r="E501" i="31"/>
  <c r="G490" i="31"/>
  <c r="F490" i="31"/>
  <c r="E490" i="31"/>
  <c r="D283" i="27"/>
  <c r="G497" i="31"/>
  <c r="F497" i="31"/>
  <c r="E497" i="31"/>
  <c r="G486" i="31"/>
  <c r="F486" i="31"/>
  <c r="E486" i="31"/>
  <c r="D284" i="27"/>
  <c r="D501" i="31" s="1"/>
  <c r="D282" i="27"/>
  <c r="D490" i="31" s="1"/>
  <c r="D267" i="27"/>
  <c r="D497" i="31" s="1"/>
  <c r="D265" i="27"/>
  <c r="D486" i="31" s="1"/>
  <c r="G433" i="31"/>
  <c r="F433" i="31"/>
  <c r="E433" i="31"/>
  <c r="G422" i="31"/>
  <c r="E422" i="31"/>
  <c r="D250" i="27"/>
  <c r="D433" i="31" s="1"/>
  <c r="D249" i="27"/>
  <c r="D248" i="27"/>
  <c r="D422" i="31" s="1"/>
  <c r="F429" i="31"/>
  <c r="G429" i="31"/>
  <c r="E429" i="31"/>
  <c r="H157" i="48" l="1"/>
  <c r="H158" i="48"/>
  <c r="G358" i="31"/>
  <c r="F358" i="31"/>
  <c r="E358" i="31"/>
  <c r="G177" i="31"/>
  <c r="F177" i="31"/>
  <c r="E177" i="31"/>
  <c r="G352" i="31" l="1"/>
  <c r="F352" i="31"/>
  <c r="E352" i="31"/>
  <c r="G341" i="31"/>
  <c r="F341" i="31"/>
  <c r="E341" i="31"/>
  <c r="G172" i="31"/>
  <c r="F172" i="31"/>
  <c r="E172" i="31"/>
  <c r="F40" i="31"/>
  <c r="G40" i="31"/>
  <c r="E163" i="31"/>
  <c r="F163" i="31"/>
  <c r="G163" i="31"/>
  <c r="H339" i="27" l="1"/>
  <c r="H338" i="27"/>
  <c r="H337" i="27"/>
  <c r="H336" i="27"/>
  <c r="H335" i="27"/>
  <c r="H334" i="27"/>
  <c r="H333" i="27"/>
  <c r="H332" i="27"/>
  <c r="H331" i="27"/>
  <c r="H330" i="27"/>
  <c r="H327" i="27"/>
  <c r="H326" i="27"/>
  <c r="H325" i="27"/>
  <c r="H324" i="27"/>
  <c r="H323" i="27"/>
  <c r="H322" i="27"/>
  <c r="H321" i="27"/>
  <c r="H320" i="27"/>
  <c r="H319" i="27"/>
  <c r="H318" i="27"/>
  <c r="H293" i="27"/>
  <c r="H292" i="27"/>
  <c r="H291" i="27"/>
  <c r="H289" i="27"/>
  <c r="H288" i="27"/>
  <c r="H287" i="27"/>
  <c r="H216" i="27"/>
  <c r="H215" i="27"/>
  <c r="H213" i="27"/>
  <c r="H212" i="27"/>
  <c r="H209" i="27"/>
  <c r="H208" i="27"/>
  <c r="H206" i="27"/>
  <c r="H205" i="27"/>
  <c r="H123" i="27"/>
  <c r="H201" i="31" s="1"/>
  <c r="H202" i="31" s="1"/>
  <c r="H121" i="27"/>
  <c r="H111" i="27"/>
  <c r="H24" i="31" s="1"/>
  <c r="H25" i="31" s="1"/>
  <c r="H109" i="27"/>
  <c r="H88" i="27"/>
  <c r="H87" i="27"/>
  <c r="H205" i="31" l="1"/>
  <c r="H207" i="31" s="1"/>
  <c r="H54" i="27"/>
  <c r="H53" i="27"/>
  <c r="H51" i="27"/>
  <c r="H50" i="27"/>
  <c r="H49" i="27"/>
  <c r="H48" i="27"/>
  <c r="H45" i="27"/>
  <c r="H36" i="27"/>
  <c r="H35" i="27"/>
  <c r="H18" i="27"/>
  <c r="H11" i="27"/>
  <c r="H383" i="27" s="1"/>
  <c r="H10" i="27"/>
  <c r="H120" i="27"/>
  <c r="H108" i="27"/>
  <c r="H90" i="27"/>
  <c r="H89" i="27"/>
  <c r="H46" i="27"/>
  <c r="H23" i="27"/>
  <c r="H22" i="27"/>
  <c r="H21" i="27"/>
  <c r="H20" i="27"/>
  <c r="H19" i="27"/>
  <c r="H214" i="31" l="1"/>
  <c r="H209" i="31"/>
  <c r="H28" i="31"/>
  <c r="H122" i="27"/>
  <c r="H210" i="31" s="1"/>
  <c r="H110" i="27"/>
  <c r="F98" i="52"/>
  <c r="G98" i="52"/>
  <c r="E98" i="52"/>
  <c r="F31" i="30"/>
  <c r="F30" i="30"/>
  <c r="H33" i="31" l="1"/>
  <c r="H30" i="31"/>
  <c r="H32" i="31" s="1"/>
  <c r="E21" i="30"/>
  <c r="F21" i="30" s="1"/>
  <c r="H110" i="64" s="1"/>
  <c r="H211" i="31" l="1"/>
  <c r="H218" i="31" s="1"/>
  <c r="H34" i="31"/>
  <c r="H37" i="31"/>
  <c r="D42" i="27"/>
  <c r="D36" i="38" s="1"/>
  <c r="E25" i="36" l="1"/>
  <c r="E418" i="31" l="1"/>
  <c r="G418" i="31"/>
  <c r="F418" i="31"/>
  <c r="D231" i="27"/>
  <c r="D418" i="31" s="1"/>
  <c r="D233" i="27"/>
  <c r="D429" i="31" s="1"/>
  <c r="E23" i="30" l="1"/>
  <c r="E24" i="31" l="1"/>
  <c r="G17" i="33" l="1"/>
  <c r="E17" i="33"/>
  <c r="D20" i="33" l="1"/>
  <c r="D23" i="33" s="1"/>
  <c r="E22" i="30" l="1"/>
  <c r="G19" i="33" l="1"/>
  <c r="F19" i="33"/>
  <c r="E19" i="33"/>
  <c r="G18" i="33"/>
  <c r="F18" i="33"/>
  <c r="D39" i="27"/>
  <c r="E18" i="33"/>
  <c r="D19" i="33" l="1"/>
  <c r="E17" i="51"/>
  <c r="A1" i="64" l="1"/>
  <c r="G64" i="62"/>
  <c r="F64" i="62"/>
  <c r="E64" i="62"/>
  <c r="E116" i="38" l="1"/>
  <c r="E20" i="30" s="1"/>
  <c r="F116" i="38"/>
  <c r="G116" i="38"/>
  <c r="G25" i="40" l="1"/>
  <c r="F25" i="40"/>
  <c r="E25" i="40"/>
  <c r="D17" i="38" l="1"/>
  <c r="D23" i="38" s="1"/>
  <c r="D13" i="38"/>
  <c r="D21" i="38" s="1"/>
  <c r="G22" i="38"/>
  <c r="F22" i="38"/>
  <c r="G19" i="38"/>
  <c r="E19" i="38"/>
  <c r="G15" i="38"/>
  <c r="F15" i="38"/>
  <c r="E15" i="38"/>
  <c r="G11" i="38"/>
  <c r="F11" i="38"/>
  <c r="E11" i="38"/>
  <c r="G16" i="38"/>
  <c r="F16" i="38"/>
  <c r="G12" i="38"/>
  <c r="F12" i="38"/>
  <c r="G20" i="38"/>
  <c r="F20" i="38"/>
  <c r="G10" i="62" l="1"/>
  <c r="F10" i="62"/>
  <c r="E10" i="62"/>
  <c r="E16" i="38" l="1"/>
  <c r="E12" i="38"/>
  <c r="E22" i="38"/>
  <c r="E20" i="38"/>
  <c r="E30" i="40" l="1"/>
  <c r="G31" i="40"/>
  <c r="F31" i="40"/>
  <c r="E31" i="40"/>
  <c r="G30" i="40"/>
  <c r="F30" i="40"/>
  <c r="G29" i="40"/>
  <c r="F29" i="40"/>
  <c r="E29" i="40"/>
  <c r="D293" i="27"/>
  <c r="D31" i="40" s="1"/>
  <c r="D292" i="27"/>
  <c r="D30" i="40" s="1"/>
  <c r="D291" i="27"/>
  <c r="D29" i="40" s="1"/>
  <c r="D493" i="31" l="1"/>
  <c r="D514" i="31" s="1"/>
  <c r="D446" i="31"/>
  <c r="D449" i="31" s="1"/>
  <c r="D436" i="31"/>
  <c r="D412" i="31"/>
  <c r="D546" i="31" s="1"/>
  <c r="D404" i="31"/>
  <c r="D408" i="31"/>
  <c r="D411" i="31" s="1"/>
  <c r="D337" i="31"/>
  <c r="D386" i="31" s="1"/>
  <c r="D329" i="31"/>
  <c r="D347" i="31" s="1"/>
  <c r="D320" i="31"/>
  <c r="D336" i="31" s="1"/>
  <c r="D316" i="31"/>
  <c r="D328" i="31" s="1"/>
  <c r="D312" i="31"/>
  <c r="D319" i="31" s="1"/>
  <c r="D308" i="31"/>
  <c r="D318" i="31" s="1"/>
  <c r="D304" i="31"/>
  <c r="D298" i="31"/>
  <c r="D310" i="31" s="1"/>
  <c r="D315" i="31" s="1"/>
  <c r="D293" i="31"/>
  <c r="D303" i="31" s="1"/>
  <c r="D289" i="31"/>
  <c r="D335" i="31" s="1"/>
  <c r="D285" i="31"/>
  <c r="D327" i="31" s="1"/>
  <c r="D280" i="31"/>
  <c r="D334" i="31" s="1"/>
  <c r="D276" i="31"/>
  <c r="D326" i="31" s="1"/>
  <c r="D270" i="31"/>
  <c r="D333" i="31" s="1"/>
  <c r="D266" i="31"/>
  <c r="D325" i="31" s="1"/>
  <c r="D262" i="31"/>
  <c r="D269" i="31" s="1"/>
  <c r="D258" i="31"/>
  <c r="D268" i="31" s="1"/>
  <c r="D254" i="31"/>
  <c r="D248" i="31"/>
  <c r="D260" i="31" s="1"/>
  <c r="D243" i="31"/>
  <c r="D253" i="31" s="1"/>
  <c r="D239" i="31"/>
  <c r="D332" i="31" s="1"/>
  <c r="D235" i="31"/>
  <c r="D324" i="31" s="1"/>
  <c r="D230" i="31"/>
  <c r="D331" i="31" s="1"/>
  <c r="D219" i="31"/>
  <c r="D387" i="31" s="1"/>
  <c r="D215" i="31"/>
  <c r="D352" i="31" s="1"/>
  <c r="D197" i="31"/>
  <c r="D217" i="31" s="1"/>
  <c r="D196" i="31"/>
  <c r="D170" i="31"/>
  <c r="D173" i="31" s="1"/>
  <c r="D160" i="31"/>
  <c r="D152" i="31"/>
  <c r="D168" i="31" s="1"/>
  <c r="D143" i="31"/>
  <c r="D159" i="31" s="1"/>
  <c r="D139" i="31"/>
  <c r="D151" i="31" s="1"/>
  <c r="D135" i="31"/>
  <c r="D142" i="31" s="1"/>
  <c r="D131" i="31"/>
  <c r="D141" i="31" s="1"/>
  <c r="D127" i="31"/>
  <c r="D121" i="31"/>
  <c r="D116" i="31"/>
  <c r="D112" i="31"/>
  <c r="D158" i="31" s="1"/>
  <c r="D108" i="31"/>
  <c r="D150" i="31" s="1"/>
  <c r="D103" i="31"/>
  <c r="D157" i="31" s="1"/>
  <c r="D99" i="31"/>
  <c r="D149" i="31" s="1"/>
  <c r="D93" i="31"/>
  <c r="D156" i="31" s="1"/>
  <c r="D89" i="31"/>
  <c r="D148" i="31" s="1"/>
  <c r="D81" i="31"/>
  <c r="D91" i="31" s="1"/>
  <c r="D77" i="31"/>
  <c r="D66" i="31"/>
  <c r="D62" i="31"/>
  <c r="D155" i="31" s="1"/>
  <c r="D58" i="31"/>
  <c r="D147" i="31" s="1"/>
  <c r="D53" i="31"/>
  <c r="D154" i="31" s="1"/>
  <c r="D49" i="31"/>
  <c r="D146" i="31" s="1"/>
  <c r="D71" i="31"/>
  <c r="D88" i="31" s="1"/>
  <c r="D42" i="31"/>
  <c r="D380" i="31" s="1"/>
  <c r="D38" i="31"/>
  <c r="D34" i="31"/>
  <c r="D20" i="31"/>
  <c r="D19" i="31"/>
  <c r="D172" i="31" l="1"/>
  <c r="D126" i="31"/>
  <c r="D133" i="31"/>
  <c r="D138" i="31" s="1"/>
  <c r="D137" i="31"/>
  <c r="D129" i="31"/>
  <c r="D264" i="31"/>
  <c r="D256" i="31"/>
  <c r="D545" i="31"/>
  <c r="D445" i="31"/>
  <c r="D169" i="31"/>
  <c r="D379" i="31"/>
  <c r="D164" i="31"/>
  <c r="D342" i="31"/>
  <c r="D348" i="31"/>
  <c r="D314" i="31"/>
  <c r="D306" i="31"/>
  <c r="D163" i="31"/>
  <c r="D177" i="31"/>
  <c r="D341" i="31"/>
  <c r="D358" i="31"/>
  <c r="D105" i="56" l="1"/>
  <c r="D101" i="56"/>
  <c r="D115" i="56" s="1"/>
  <c r="D97" i="56"/>
  <c r="D104" i="56" s="1"/>
  <c r="D93" i="56"/>
  <c r="D89" i="56"/>
  <c r="D103" i="56" s="1"/>
  <c r="D80" i="56"/>
  <c r="D44" i="56"/>
  <c r="D40" i="56"/>
  <c r="D52" i="56" s="1"/>
  <c r="D36" i="56"/>
  <c r="D43" i="56" s="1"/>
  <c r="D32" i="56"/>
  <c r="D28" i="56"/>
  <c r="D42" i="56" s="1"/>
  <c r="D19" i="56"/>
  <c r="D122" i="48"/>
  <c r="D132" i="48" s="1"/>
  <c r="D176" i="38" s="1"/>
  <c r="D84" i="48"/>
  <c r="D117" i="48" s="1"/>
  <c r="D80" i="48"/>
  <c r="D89" i="48" s="1"/>
  <c r="D76" i="48"/>
  <c r="D120" i="48" s="1"/>
  <c r="D72" i="48"/>
  <c r="D118" i="48" s="1"/>
  <c r="D68" i="48"/>
  <c r="D92" i="48" s="1"/>
  <c r="D60" i="48"/>
  <c r="D127" i="48" s="1"/>
  <c r="D177" i="38" s="1"/>
  <c r="D56" i="48"/>
  <c r="D52" i="48"/>
  <c r="D58" i="48" s="1"/>
  <c r="D48" i="48"/>
  <c r="D38" i="48"/>
  <c r="D140" i="48" s="1"/>
  <c r="D30" i="48"/>
  <c r="D126" i="48" s="1"/>
  <c r="D147" i="56" l="1"/>
  <c r="D47" i="56"/>
  <c r="D61" i="56"/>
  <c r="D53" i="56"/>
  <c r="D148" i="56"/>
  <c r="D48" i="56"/>
  <c r="D126" i="56"/>
  <c r="D154" i="56"/>
  <c r="D109" i="56"/>
  <c r="D155" i="56"/>
  <c r="D116" i="56"/>
  <c r="D110" i="56"/>
  <c r="D55" i="48"/>
  <c r="D59" i="48"/>
  <c r="G77" i="52"/>
  <c r="F77" i="52"/>
  <c r="E77" i="52"/>
  <c r="G76" i="52"/>
  <c r="E76" i="52"/>
  <c r="G75" i="52"/>
  <c r="F75" i="52"/>
  <c r="E75" i="52"/>
  <c r="G74" i="52"/>
  <c r="F74" i="52"/>
  <c r="E74" i="52"/>
  <c r="G73" i="52"/>
  <c r="E73" i="52"/>
  <c r="G72" i="52"/>
  <c r="F72" i="52"/>
  <c r="E72" i="52"/>
  <c r="G71" i="52"/>
  <c r="F71" i="52"/>
  <c r="E71" i="52"/>
  <c r="G70" i="52"/>
  <c r="E70" i="52"/>
  <c r="G69" i="52"/>
  <c r="F69" i="52"/>
  <c r="E69" i="52"/>
  <c r="G68" i="52"/>
  <c r="F68" i="52"/>
  <c r="E68" i="52"/>
  <c r="G67" i="52"/>
  <c r="F67" i="52"/>
  <c r="E67" i="52"/>
  <c r="G66" i="52"/>
  <c r="F66" i="52"/>
  <c r="E66" i="52"/>
  <c r="G15" i="40" l="1"/>
  <c r="F15" i="40"/>
  <c r="G14" i="40"/>
  <c r="F14" i="40"/>
  <c r="E15" i="40"/>
  <c r="E14" i="40"/>
  <c r="D51" i="27"/>
  <c r="D15" i="40" s="1"/>
  <c r="D50" i="27"/>
  <c r="D14" i="40" s="1"/>
  <c r="E11" i="40"/>
  <c r="E10" i="40"/>
  <c r="D16" i="40"/>
  <c r="D33" i="40" s="1"/>
  <c r="D12" i="40"/>
  <c r="D32" i="40" s="1"/>
  <c r="D22" i="40"/>
  <c r="D59" i="40" s="1"/>
  <c r="G11" i="40"/>
  <c r="F11" i="40"/>
  <c r="D49" i="27"/>
  <c r="D11" i="40" s="1"/>
  <c r="G10" i="40"/>
  <c r="F10" i="40"/>
  <c r="D48" i="27"/>
  <c r="D10" i="40" s="1"/>
  <c r="D468" i="31" l="1"/>
  <c r="D476" i="31"/>
  <c r="D479" i="31" s="1"/>
  <c r="D480" i="31"/>
  <c r="D553" i="31" s="1"/>
  <c r="D472" i="31"/>
  <c r="D400" i="31"/>
  <c r="D192" i="31"/>
  <c r="D213" i="31" s="1"/>
  <c r="D94" i="48"/>
  <c r="D102" i="48" s="1"/>
  <c r="D172" i="38" s="1"/>
  <c r="D64" i="48"/>
  <c r="D90" i="48" s="1"/>
  <c r="D34" i="48"/>
  <c r="D109" i="48" s="1"/>
  <c r="D26" i="48"/>
  <c r="F488" i="31" l="1"/>
  <c r="F63" i="52"/>
  <c r="F492" i="31"/>
  <c r="F65" i="52"/>
  <c r="G488" i="31"/>
  <c r="G63" i="52"/>
  <c r="G492" i="31"/>
  <c r="G65" i="52"/>
  <c r="G59" i="52"/>
  <c r="G420" i="31"/>
  <c r="F59" i="52"/>
  <c r="F420" i="31"/>
  <c r="G119" i="31"/>
  <c r="D195" i="27"/>
  <c r="D296" i="31" s="1"/>
  <c r="D177" i="27"/>
  <c r="D246" i="31" s="1"/>
  <c r="D159" i="27"/>
  <c r="D119" i="31" s="1"/>
  <c r="F119" i="31"/>
  <c r="E119" i="31"/>
  <c r="D141" i="27" l="1"/>
  <c r="D69" i="31" s="1"/>
  <c r="G69" i="31"/>
  <c r="F69" i="31"/>
  <c r="E69" i="31"/>
  <c r="D62" i="62" l="1"/>
  <c r="D31" i="62"/>
  <c r="G30" i="62"/>
  <c r="F30" i="62"/>
  <c r="G29" i="62"/>
  <c r="F29" i="62"/>
  <c r="G28" i="62"/>
  <c r="F28" i="62"/>
  <c r="G27" i="62"/>
  <c r="F27" i="62"/>
  <c r="G26" i="62"/>
  <c r="F26" i="62"/>
  <c r="G25" i="62"/>
  <c r="F25" i="62"/>
  <c r="G24" i="62"/>
  <c r="F24" i="62"/>
  <c r="G23" i="62"/>
  <c r="F23" i="62"/>
  <c r="G22" i="62"/>
  <c r="F22" i="62"/>
  <c r="G21" i="62"/>
  <c r="F21" i="62"/>
  <c r="G20" i="62"/>
  <c r="F20" i="62"/>
  <c r="G19" i="62"/>
  <c r="F19" i="62"/>
  <c r="G18" i="62"/>
  <c r="F18" i="62"/>
  <c r="G17" i="62"/>
  <c r="F17" i="62"/>
  <c r="G16" i="62"/>
  <c r="F16" i="62"/>
  <c r="G15" i="62"/>
  <c r="F15" i="62"/>
  <c r="G14" i="62"/>
  <c r="F14" i="62"/>
  <c r="G13" i="62"/>
  <c r="F13" i="62"/>
  <c r="G12" i="62"/>
  <c r="F12" i="62"/>
  <c r="G11" i="62"/>
  <c r="F11" i="62"/>
  <c r="A1" i="62"/>
  <c r="D371" i="27"/>
  <c r="D61" i="62" s="1"/>
  <c r="D370" i="27"/>
  <c r="D60" i="62" s="1"/>
  <c r="D369" i="27"/>
  <c r="D59" i="62" s="1"/>
  <c r="D368" i="27"/>
  <c r="D58" i="62" s="1"/>
  <c r="D367" i="27"/>
  <c r="D57" i="62" s="1"/>
  <c r="D366" i="27"/>
  <c r="D56" i="62" s="1"/>
  <c r="D365" i="27"/>
  <c r="D55" i="62" s="1"/>
  <c r="D364" i="27"/>
  <c r="D54" i="62" s="1"/>
  <c r="D363" i="27"/>
  <c r="D53" i="62" s="1"/>
  <c r="D362" i="27"/>
  <c r="D52" i="62" s="1"/>
  <c r="D361" i="27"/>
  <c r="D51" i="62" s="1"/>
  <c r="D360" i="27"/>
  <c r="D50" i="62" s="1"/>
  <c r="D359" i="27"/>
  <c r="D49" i="62" s="1"/>
  <c r="D358" i="27"/>
  <c r="D48" i="62" s="1"/>
  <c r="D64" i="62" l="1"/>
  <c r="D77" i="62"/>
  <c r="D72" i="62"/>
  <c r="D65" i="62"/>
  <c r="D78" i="62"/>
  <c r="D73" i="62"/>
  <c r="G153" i="56"/>
  <c r="E153" i="56"/>
  <c r="G551" i="31"/>
  <c r="E551" i="31"/>
  <c r="G385" i="31"/>
  <c r="E385" i="31"/>
  <c r="E15" i="36"/>
  <c r="F15" i="36" l="1"/>
  <c r="G46" i="40" l="1"/>
  <c r="E46" i="40"/>
  <c r="D55" i="40"/>
  <c r="D58" i="40" s="1"/>
  <c r="D44" i="40"/>
  <c r="D57" i="40" s="1"/>
  <c r="D339" i="27" l="1"/>
  <c r="D30" i="62" s="1"/>
  <c r="D338" i="27"/>
  <c r="D29" i="62" s="1"/>
  <c r="D337" i="27"/>
  <c r="D28" i="62" s="1"/>
  <c r="D336" i="27"/>
  <c r="D27" i="62" s="1"/>
  <c r="D335" i="27"/>
  <c r="D26" i="62" s="1"/>
  <c r="D334" i="27"/>
  <c r="D25" i="62" s="1"/>
  <c r="D333" i="27"/>
  <c r="D24" i="62" s="1"/>
  <c r="D332" i="27"/>
  <c r="D23" i="62" s="1"/>
  <c r="D331" i="27"/>
  <c r="D22" i="62" s="1"/>
  <c r="D330" i="27"/>
  <c r="D21" i="62" s="1"/>
  <c r="F22" i="30" l="1"/>
  <c r="H111" i="64" s="1"/>
  <c r="G42" i="38"/>
  <c r="F42" i="38"/>
  <c r="G41" i="38"/>
  <c r="F41" i="38"/>
  <c r="E42" i="38"/>
  <c r="G40" i="39" s="1"/>
  <c r="E41" i="38"/>
  <c r="D29" i="38"/>
  <c r="D32" i="38" s="1"/>
  <c r="D24" i="38"/>
  <c r="D15" i="33"/>
  <c r="D22" i="33" s="1"/>
  <c r="G56" i="38"/>
  <c r="G100" i="38" s="1"/>
  <c r="F56" i="38"/>
  <c r="F100" i="38" s="1"/>
  <c r="E56" i="38"/>
  <c r="D60" i="40"/>
  <c r="D34" i="40"/>
  <c r="D62" i="40" l="1"/>
  <c r="D75" i="40"/>
  <c r="D70" i="40"/>
  <c r="D63" i="40"/>
  <c r="D76" i="40"/>
  <c r="D71" i="40"/>
  <c r="E100" i="38"/>
  <c r="E136" i="38"/>
  <c r="E147" i="38" s="1"/>
  <c r="E78" i="48"/>
  <c r="F78" i="48"/>
  <c r="G78" i="48"/>
  <c r="E79" i="48"/>
  <c r="F79" i="48"/>
  <c r="G79" i="48"/>
  <c r="E82" i="48"/>
  <c r="F82" i="48"/>
  <c r="G82" i="48"/>
  <c r="E83" i="48"/>
  <c r="F83" i="48"/>
  <c r="G83" i="48"/>
  <c r="G62" i="48"/>
  <c r="D78" i="48"/>
  <c r="G66" i="48"/>
  <c r="D79" i="48"/>
  <c r="G70" i="48"/>
  <c r="D82" i="48"/>
  <c r="G74" i="48"/>
  <c r="D83" i="48"/>
  <c r="G495" i="31"/>
  <c r="G484" i="31"/>
  <c r="G525" i="31"/>
  <c r="F525" i="31"/>
  <c r="E525" i="31"/>
  <c r="G508" i="31"/>
  <c r="F508" i="31"/>
  <c r="E508" i="31"/>
  <c r="G519" i="31"/>
  <c r="F519" i="31"/>
  <c r="E519" i="31"/>
  <c r="D525" i="31"/>
  <c r="G478" i="31"/>
  <c r="F478" i="31"/>
  <c r="E478" i="31"/>
  <c r="G475" i="31"/>
  <c r="F475" i="31"/>
  <c r="G474" i="31"/>
  <c r="F474" i="31"/>
  <c r="D519" i="31"/>
  <c r="D471" i="31"/>
  <c r="G467" i="31"/>
  <c r="F467" i="31"/>
  <c r="G470" i="31"/>
  <c r="F470" i="31"/>
  <c r="E470" i="31"/>
  <c r="G453" i="31"/>
  <c r="F453" i="31"/>
  <c r="E453" i="31"/>
  <c r="G440" i="31"/>
  <c r="F440" i="31"/>
  <c r="E440" i="31"/>
  <c r="G427" i="31"/>
  <c r="G416" i="31"/>
  <c r="G448" i="31"/>
  <c r="F448" i="31"/>
  <c r="E448" i="31"/>
  <c r="G439" i="31"/>
  <c r="F439" i="31"/>
  <c r="E439" i="31"/>
  <c r="G407" i="31"/>
  <c r="F407" i="31"/>
  <c r="G406" i="31"/>
  <c r="F406" i="31"/>
  <c r="D439" i="31"/>
  <c r="G410" i="31"/>
  <c r="F410" i="31"/>
  <c r="E410" i="31"/>
  <c r="D448" i="31"/>
  <c r="G399" i="31"/>
  <c r="F399" i="31"/>
  <c r="G398" i="31"/>
  <c r="F398" i="31"/>
  <c r="G403" i="31"/>
  <c r="F403" i="31"/>
  <c r="E403" i="31"/>
  <c r="G402" i="31"/>
  <c r="F402" i="31"/>
  <c r="E402" i="31"/>
  <c r="D516" i="31"/>
  <c r="D520" i="31" s="1"/>
  <c r="D504" i="31"/>
  <c r="D440" i="31"/>
  <c r="D425" i="31"/>
  <c r="D444" i="31" s="1"/>
  <c r="D403" i="31"/>
  <c r="E399" i="31"/>
  <c r="E158" i="38" l="1"/>
  <c r="E188" i="38"/>
  <c r="E210" i="38" s="1"/>
  <c r="D509" i="31"/>
  <c r="D552" i="31"/>
  <c r="D515" i="31"/>
  <c r="E467" i="31"/>
  <c r="E398" i="31"/>
  <c r="D508" i="31"/>
  <c r="D453" i="31"/>
  <c r="E169" i="38" l="1"/>
  <c r="E199" i="38"/>
  <c r="D279" i="27"/>
  <c r="D262" i="27"/>
  <c r="D245" i="27"/>
  <c r="D228" i="27"/>
  <c r="E421" i="31" l="1"/>
  <c r="G417" i="31"/>
  <c r="G421" i="31"/>
  <c r="G485" i="31"/>
  <c r="G489" i="31"/>
  <c r="E432" i="31"/>
  <c r="E500" i="31"/>
  <c r="G496" i="31"/>
  <c r="G428" i="31"/>
  <c r="G430" i="31"/>
  <c r="G434" i="31"/>
  <c r="G498" i="31"/>
  <c r="G502" i="31"/>
  <c r="G431" i="31"/>
  <c r="G435" i="31"/>
  <c r="G499" i="31"/>
  <c r="G503" i="31"/>
  <c r="E417" i="31"/>
  <c r="E489" i="31"/>
  <c r="F500" i="31"/>
  <c r="F496" i="31"/>
  <c r="F428" i="31"/>
  <c r="F430" i="31"/>
  <c r="F431" i="31"/>
  <c r="F435" i="31"/>
  <c r="F499" i="31"/>
  <c r="E485" i="31"/>
  <c r="E496" i="31"/>
  <c r="G500" i="31"/>
  <c r="G432" i="31"/>
  <c r="E430" i="31"/>
  <c r="E434" i="31"/>
  <c r="E498" i="31"/>
  <c r="E502" i="31"/>
  <c r="E431" i="31"/>
  <c r="E435" i="31"/>
  <c r="E499" i="31"/>
  <c r="E503" i="31"/>
  <c r="E428" i="31"/>
  <c r="F417" i="31"/>
  <c r="F421" i="31"/>
  <c r="F485" i="31"/>
  <c r="F489" i="31"/>
  <c r="F432" i="31"/>
  <c r="F503" i="31"/>
  <c r="E40" i="31" l="1"/>
  <c r="D40" i="31"/>
  <c r="G195" i="31"/>
  <c r="F195" i="31"/>
  <c r="G194" i="31"/>
  <c r="F194" i="31"/>
  <c r="E194" i="31"/>
  <c r="G18" i="31" l="1"/>
  <c r="F18" i="31"/>
  <c r="G17" i="31"/>
  <c r="F17" i="31"/>
  <c r="E17" i="31"/>
  <c r="D121" i="27"/>
  <c r="D109" i="27"/>
  <c r="D18" i="31" s="1"/>
  <c r="D349" i="31"/>
  <c r="D353" i="31" s="1"/>
  <c r="D226" i="31"/>
  <c r="D323" i="31" s="1"/>
  <c r="D15" i="31"/>
  <c r="D85" i="56"/>
  <c r="D76" i="56"/>
  <c r="D120" i="56" s="1"/>
  <c r="E23" i="36"/>
  <c r="E22" i="36"/>
  <c r="G50" i="38"/>
  <c r="G66" i="38" s="1"/>
  <c r="F50" i="38"/>
  <c r="F66" i="38" s="1"/>
  <c r="E50" i="38"/>
  <c r="G49" i="38"/>
  <c r="G61" i="38" s="1"/>
  <c r="F49" i="38"/>
  <c r="F61" i="38" s="1"/>
  <c r="E49" i="38"/>
  <c r="G79" i="56"/>
  <c r="F79" i="56"/>
  <c r="G96" i="56"/>
  <c r="F96" i="56"/>
  <c r="G88" i="56"/>
  <c r="F88" i="56"/>
  <c r="G35" i="56"/>
  <c r="F35" i="56"/>
  <c r="G27" i="56"/>
  <c r="F27" i="56"/>
  <c r="E96" i="56"/>
  <c r="E88" i="56"/>
  <c r="E35" i="56"/>
  <c r="E27" i="56"/>
  <c r="D99" i="27"/>
  <c r="D96" i="56" s="1"/>
  <c r="D98" i="27"/>
  <c r="D88" i="56" s="1"/>
  <c r="D97" i="27"/>
  <c r="D35" i="56" s="1"/>
  <c r="D96" i="27"/>
  <c r="D27" i="56" s="1"/>
  <c r="E79" i="56"/>
  <c r="E18" i="56"/>
  <c r="G18" i="56"/>
  <c r="F18" i="56"/>
  <c r="D90" i="27"/>
  <c r="D79" i="56" s="1"/>
  <c r="D89" i="27"/>
  <c r="D18" i="56" s="1"/>
  <c r="G125" i="56"/>
  <c r="E125" i="56"/>
  <c r="G95" i="56"/>
  <c r="G87" i="56"/>
  <c r="G78" i="56"/>
  <c r="F78" i="56"/>
  <c r="E78" i="56"/>
  <c r="G34" i="56"/>
  <c r="G26" i="56"/>
  <c r="E61" i="38" l="1"/>
  <c r="E129" i="38"/>
  <c r="E140" i="38" s="1"/>
  <c r="E66" i="38"/>
  <c r="E130" i="38"/>
  <c r="E141" i="38" s="1"/>
  <c r="E195" i="31"/>
  <c r="E18" i="31"/>
  <c r="D195" i="31"/>
  <c r="G17" i="56"/>
  <c r="F17" i="56"/>
  <c r="E17" i="56"/>
  <c r="G131" i="56"/>
  <c r="E131" i="56"/>
  <c r="G108" i="56"/>
  <c r="E108" i="56"/>
  <c r="G119" i="56"/>
  <c r="E119" i="56"/>
  <c r="D117" i="56"/>
  <c r="D121" i="56" s="1"/>
  <c r="G114" i="56"/>
  <c r="E114" i="56"/>
  <c r="G100" i="56"/>
  <c r="F100" i="56"/>
  <c r="E100" i="56"/>
  <c r="G99" i="56"/>
  <c r="F99" i="56"/>
  <c r="E99" i="56"/>
  <c r="D100" i="56"/>
  <c r="G91" i="56"/>
  <c r="G83" i="56"/>
  <c r="G74" i="56"/>
  <c r="F74" i="56"/>
  <c r="E74" i="56"/>
  <c r="G75" i="56"/>
  <c r="F75" i="56"/>
  <c r="D54" i="56"/>
  <c r="D57" i="56" s="1"/>
  <c r="G39" i="56"/>
  <c r="F39" i="56"/>
  <c r="E39" i="56"/>
  <c r="G38" i="56"/>
  <c r="F38" i="56"/>
  <c r="E38" i="56"/>
  <c r="D39" i="56"/>
  <c r="G30" i="56"/>
  <c r="D24" i="56"/>
  <c r="D38" i="56" s="1"/>
  <c r="G22" i="56"/>
  <c r="D15" i="56"/>
  <c r="D56" i="56" s="1"/>
  <c r="G13" i="56"/>
  <c r="F13" i="56"/>
  <c r="E13" i="56"/>
  <c r="G14" i="56"/>
  <c r="F14" i="56"/>
  <c r="A1" i="56"/>
  <c r="E182" i="38" l="1"/>
  <c r="E204" i="38" s="1"/>
  <c r="E152" i="38"/>
  <c r="E181" i="38"/>
  <c r="E203" i="38" s="1"/>
  <c r="E151" i="38"/>
  <c r="D99" i="56"/>
  <c r="E162" i="38" l="1"/>
  <c r="E192" i="38"/>
  <c r="E163" i="38"/>
  <c r="E193" i="38"/>
  <c r="D22" i="48"/>
  <c r="D29" i="48" s="1"/>
  <c r="D18" i="48"/>
  <c r="D25" i="48" s="1"/>
  <c r="E20" i="36" l="1"/>
  <c r="E19" i="36"/>
  <c r="E18" i="36"/>
  <c r="E17" i="36"/>
  <c r="F536" i="31"/>
  <c r="F547" i="31" s="1"/>
  <c r="D22" i="53" l="1"/>
  <c r="D20" i="53"/>
  <c r="D18" i="53"/>
  <c r="D16" i="53"/>
  <c r="F36" i="53" l="1"/>
  <c r="D55" i="53"/>
  <c r="D204" i="31" s="1"/>
  <c r="D57" i="53"/>
  <c r="A1" i="53"/>
  <c r="D25" i="40" l="1"/>
  <c r="D27" i="31"/>
  <c r="F19" i="38"/>
  <c r="F17" i="33"/>
  <c r="D10" i="62"/>
  <c r="D15" i="38"/>
  <c r="D11" i="38"/>
  <c r="D85" i="31"/>
  <c r="D92" i="31" s="1"/>
  <c r="D478" i="31"/>
  <c r="D190" i="31"/>
  <c r="D17" i="56"/>
  <c r="D17" i="31"/>
  <c r="D36" i="48"/>
  <c r="D410" i="31"/>
  <c r="D194" i="31"/>
  <c r="D13" i="31"/>
  <c r="D32" i="48"/>
  <c r="D78" i="56"/>
  <c r="D13" i="56"/>
  <c r="D402" i="31"/>
  <c r="D74" i="56"/>
  <c r="D470" i="31"/>
  <c r="F551" i="31"/>
  <c r="F153" i="56"/>
  <c r="F385" i="31"/>
  <c r="F46" i="40"/>
  <c r="D62" i="48"/>
  <c r="D66" i="48"/>
  <c r="D70" i="48"/>
  <c r="D74" i="48"/>
  <c r="D484" i="31"/>
  <c r="D427" i="31"/>
  <c r="D416" i="31"/>
  <c r="D495" i="31"/>
  <c r="D26" i="56"/>
  <c r="D95" i="56"/>
  <c r="D34" i="56"/>
  <c r="D87" i="56"/>
  <c r="D83" i="56"/>
  <c r="D22" i="56"/>
  <c r="D91" i="56"/>
  <c r="D30" i="56"/>
  <c r="F125" i="56"/>
  <c r="F131" i="56"/>
  <c r="F114" i="56"/>
  <c r="F108" i="56"/>
  <c r="F119" i="56"/>
  <c r="F92" i="56"/>
  <c r="F84" i="56"/>
  <c r="F31" i="56"/>
  <c r="F23" i="56"/>
  <c r="E475" i="31" l="1"/>
  <c r="E474" i="31"/>
  <c r="E75" i="56"/>
  <c r="E407" i="31"/>
  <c r="E406" i="31"/>
  <c r="E14" i="56"/>
  <c r="E102" i="52"/>
  <c r="F102" i="52"/>
  <c r="G102" i="52"/>
  <c r="E103" i="52"/>
  <c r="F103" i="52"/>
  <c r="G103" i="52"/>
  <c r="G99" i="52" l="1"/>
  <c r="F99" i="52"/>
  <c r="E99" i="52"/>
  <c r="H121" i="52"/>
  <c r="H122" i="52"/>
  <c r="H123" i="52"/>
  <c r="F85" i="52"/>
  <c r="F84" i="52"/>
  <c r="F83" i="52"/>
  <c r="F82" i="52"/>
  <c r="F81" i="52"/>
  <c r="F80" i="52"/>
  <c r="F79" i="52"/>
  <c r="G78" i="52"/>
  <c r="F78" i="52"/>
  <c r="F29" i="52"/>
  <c r="F28" i="52"/>
  <c r="F27" i="52"/>
  <c r="F26" i="52"/>
  <c r="A1" i="52"/>
  <c r="J5" i="52"/>
  <c r="K12" i="52" l="1"/>
  <c r="K101" i="52"/>
  <c r="L101" i="52" s="1"/>
  <c r="K105" i="52"/>
  <c r="L105" i="52" s="1"/>
  <c r="K100" i="52"/>
  <c r="L100" i="52" s="1"/>
  <c r="K104" i="52"/>
  <c r="L104" i="52" s="1"/>
  <c r="K34" i="52"/>
  <c r="J34" i="52" s="1"/>
  <c r="K86" i="52"/>
  <c r="J86" i="52" s="1"/>
  <c r="K57" i="52"/>
  <c r="K35" i="52"/>
  <c r="K87" i="52"/>
  <c r="K56" i="52"/>
  <c r="L56" i="52" s="1"/>
  <c r="K13" i="52"/>
  <c r="K25" i="52"/>
  <c r="K24" i="52"/>
  <c r="J12" i="52" l="1"/>
  <c r="L12" i="52"/>
  <c r="J104" i="52"/>
  <c r="L34" i="52"/>
  <c r="J100" i="52"/>
  <c r="J101" i="52"/>
  <c r="J105" i="52"/>
  <c r="L86" i="52"/>
  <c r="J56" i="52"/>
  <c r="L87" i="52"/>
  <c r="J87" i="52"/>
  <c r="J35" i="52"/>
  <c r="L35" i="52"/>
  <c r="J57" i="52"/>
  <c r="L57" i="52"/>
  <c r="L13" i="52"/>
  <c r="J13" i="52"/>
  <c r="J24" i="52"/>
  <c r="L24" i="52"/>
  <c r="L25" i="52"/>
  <c r="J25" i="52"/>
  <c r="A1" i="51" l="1"/>
  <c r="E114" i="38"/>
  <c r="E18" i="30" s="1"/>
  <c r="E112" i="38"/>
  <c r="E16" i="30" s="1"/>
  <c r="E111" i="38"/>
  <c r="E15" i="30" s="1"/>
  <c r="E113" i="38"/>
  <c r="E17" i="30" s="1"/>
  <c r="F17" i="30" s="1"/>
  <c r="H106" i="64" s="1"/>
  <c r="E117" i="52"/>
  <c r="E115" i="38"/>
  <c r="E19" i="30" s="1"/>
  <c r="E110" i="38"/>
  <c r="C44" i="31"/>
  <c r="C221" i="31"/>
  <c r="C95" i="31"/>
  <c r="E114" i="52" l="1"/>
  <c r="E14" i="30"/>
  <c r="F14" i="30" s="1"/>
  <c r="H103" i="64" s="1"/>
  <c r="E112" i="52"/>
  <c r="E115" i="52"/>
  <c r="E113" i="52"/>
  <c r="E116" i="52"/>
  <c r="E111" i="52"/>
  <c r="G19" i="52"/>
  <c r="F19" i="52"/>
  <c r="G18" i="52"/>
  <c r="F18" i="52"/>
  <c r="G17" i="52"/>
  <c r="F17" i="52"/>
  <c r="G15" i="52"/>
  <c r="F15" i="52"/>
  <c r="G16" i="52"/>
  <c r="F16" i="52"/>
  <c r="G14" i="52"/>
  <c r="F14" i="52"/>
  <c r="G530" i="31" l="1"/>
  <c r="E530" i="31"/>
  <c r="G524" i="31"/>
  <c r="E524" i="31"/>
  <c r="G518" i="31"/>
  <c r="E518" i="31"/>
  <c r="G507" i="31"/>
  <c r="E507" i="31"/>
  <c r="G363" i="31"/>
  <c r="E363" i="31"/>
  <c r="G357" i="31"/>
  <c r="E357" i="31"/>
  <c r="G351" i="31"/>
  <c r="E351" i="31"/>
  <c r="G340" i="31"/>
  <c r="E340" i="31"/>
  <c r="G12" i="33" l="1"/>
  <c r="E12" i="33"/>
  <c r="G13" i="33"/>
  <c r="F13" i="33"/>
  <c r="E13" i="33"/>
  <c r="D35" i="27"/>
  <c r="G513" i="31"/>
  <c r="E513" i="31"/>
  <c r="G346" i="31"/>
  <c r="E346" i="31"/>
  <c r="G116" i="48"/>
  <c r="E116" i="48"/>
  <c r="G135" i="48"/>
  <c r="E135" i="48"/>
  <c r="G130" i="48"/>
  <c r="E130" i="48"/>
  <c r="G125" i="48"/>
  <c r="E125" i="48"/>
  <c r="G26" i="38"/>
  <c r="E26" i="38"/>
  <c r="D11" i="27"/>
  <c r="D10" i="27"/>
  <c r="D13" i="27"/>
  <c r="D27" i="38" l="1"/>
  <c r="G39" i="39"/>
  <c r="D13" i="33"/>
  <c r="D20" i="38"/>
  <c r="D103" i="52"/>
  <c r="F26" i="38"/>
  <c r="F507" i="31"/>
  <c r="F518" i="31"/>
  <c r="F524" i="31"/>
  <c r="F357" i="31"/>
  <c r="F351" i="31"/>
  <c r="F340" i="31"/>
  <c r="F530" i="31"/>
  <c r="F363" i="31"/>
  <c r="F12" i="33"/>
  <c r="F346" i="31"/>
  <c r="F513" i="31"/>
  <c r="F135" i="48"/>
  <c r="F125" i="48"/>
  <c r="F116" i="48"/>
  <c r="F130" i="48"/>
  <c r="G37" i="48" l="1"/>
  <c r="F37" i="48"/>
  <c r="E37" i="48"/>
  <c r="G33" i="48"/>
  <c r="F33" i="48"/>
  <c r="D46" i="27"/>
  <c r="E33" i="48"/>
  <c r="D45" i="27"/>
  <c r="G131" i="48"/>
  <c r="F131" i="48"/>
  <c r="G101" i="48"/>
  <c r="F101" i="48"/>
  <c r="D33" i="48" l="1"/>
  <c r="D12" i="38"/>
  <c r="D37" i="48"/>
  <c r="D16" i="38"/>
  <c r="G98" i="48"/>
  <c r="F98" i="48"/>
  <c r="E98" i="48"/>
  <c r="E173" i="38" s="1"/>
  <c r="G97" i="48"/>
  <c r="F97" i="48"/>
  <c r="E97" i="48"/>
  <c r="E107" i="52" l="1"/>
  <c r="E88" i="52"/>
  <c r="F107" i="52"/>
  <c r="F88" i="52"/>
  <c r="G107" i="52"/>
  <c r="G88" i="52"/>
  <c r="G51" i="48"/>
  <c r="F51" i="48"/>
  <c r="G50" i="48"/>
  <c r="F50" i="48"/>
  <c r="G47" i="48"/>
  <c r="F47" i="48"/>
  <c r="G46" i="48"/>
  <c r="F46" i="48"/>
  <c r="D44" i="48"/>
  <c r="D54" i="48" s="1"/>
  <c r="G43" i="48"/>
  <c r="F43" i="48"/>
  <c r="G42" i="48"/>
  <c r="F42" i="48"/>
  <c r="C41" i="48"/>
  <c r="G36" i="48"/>
  <c r="F36" i="48"/>
  <c r="E36" i="48"/>
  <c r="G32" i="48"/>
  <c r="F32" i="48"/>
  <c r="E32" i="48"/>
  <c r="G21" i="48"/>
  <c r="F21" i="48"/>
  <c r="G20" i="48"/>
  <c r="F20" i="48"/>
  <c r="G17" i="48"/>
  <c r="F17" i="48"/>
  <c r="G16" i="48"/>
  <c r="F16" i="48"/>
  <c r="D14" i="48"/>
  <c r="D28" i="48" s="1"/>
  <c r="G13" i="48"/>
  <c r="F13" i="48"/>
  <c r="G12" i="48"/>
  <c r="F12" i="48"/>
  <c r="C11" i="48"/>
  <c r="A1" i="48"/>
  <c r="D24" i="48" l="1"/>
  <c r="D98" i="48"/>
  <c r="D173" i="38" s="1"/>
  <c r="D97" i="48"/>
  <c r="G28" i="40" l="1"/>
  <c r="G27" i="40"/>
  <c r="G26" i="40"/>
  <c r="F26" i="40"/>
  <c r="F28" i="40"/>
  <c r="F27" i="40"/>
  <c r="E28" i="40"/>
  <c r="E27" i="40"/>
  <c r="D289" i="27"/>
  <c r="D28" i="40" s="1"/>
  <c r="D288" i="27"/>
  <c r="D27" i="40" s="1"/>
  <c r="C414" i="31" l="1"/>
  <c r="C222" i="31"/>
  <c r="C272" i="31"/>
  <c r="C45" i="31"/>
  <c r="C12" i="31"/>
  <c r="A1" i="44" l="1"/>
  <c r="G23" i="56" l="1"/>
  <c r="E23" i="56"/>
  <c r="G63" i="48"/>
  <c r="F63" i="48"/>
  <c r="E63" i="48"/>
  <c r="D355" i="27"/>
  <c r="D47" i="62" s="1"/>
  <c r="D354" i="27"/>
  <c r="D46" i="62" s="1"/>
  <c r="D353" i="27"/>
  <c r="D45" i="62" s="1"/>
  <c r="D352" i="27"/>
  <c r="D44" i="62" s="1"/>
  <c r="D351" i="27"/>
  <c r="D43" i="62" s="1"/>
  <c r="D350" i="27"/>
  <c r="D42" i="62" s="1"/>
  <c r="D349" i="27"/>
  <c r="D41" i="62" s="1"/>
  <c r="D348" i="27"/>
  <c r="D40" i="62" s="1"/>
  <c r="D347" i="27"/>
  <c r="D39" i="62" s="1"/>
  <c r="D346" i="27"/>
  <c r="D38" i="62" s="1"/>
  <c r="D345" i="27"/>
  <c r="D37" i="62" s="1"/>
  <c r="D344" i="27"/>
  <c r="D36" i="62" s="1"/>
  <c r="D343" i="27"/>
  <c r="D35" i="62" s="1"/>
  <c r="D342" i="27"/>
  <c r="D34" i="62" s="1"/>
  <c r="G51" i="40"/>
  <c r="F51" i="40"/>
  <c r="E51" i="40"/>
  <c r="G47" i="40"/>
  <c r="F47" i="40"/>
  <c r="E47" i="40"/>
  <c r="G40" i="40"/>
  <c r="F40" i="40"/>
  <c r="E40" i="40"/>
  <c r="E419" i="31" l="1"/>
  <c r="F419" i="31"/>
  <c r="G419" i="31"/>
  <c r="E26" i="52"/>
  <c r="G36" i="52"/>
  <c r="E78" i="52"/>
  <c r="E97" i="52"/>
  <c r="G26" i="52"/>
  <c r="E79" i="52"/>
  <c r="E96" i="52"/>
  <c r="F97" i="52"/>
  <c r="E36" i="52"/>
  <c r="G79" i="52"/>
  <c r="F96" i="52"/>
  <c r="G97" i="52"/>
  <c r="F36" i="52"/>
  <c r="G96" i="52"/>
  <c r="G110" i="38"/>
  <c r="F110" i="38"/>
  <c r="F114" i="52" l="1"/>
  <c r="G114" i="52"/>
  <c r="G31" i="38"/>
  <c r="F31" i="38"/>
  <c r="E31" i="38"/>
  <c r="D31" i="38" l="1"/>
  <c r="D102" i="52"/>
  <c r="G115" i="38" l="1"/>
  <c r="F115" i="38"/>
  <c r="G99" i="38"/>
  <c r="F99" i="38"/>
  <c r="E99" i="38"/>
  <c r="G98" i="38"/>
  <c r="F98" i="38"/>
  <c r="E98" i="38"/>
  <c r="G94" i="38"/>
  <c r="F94" i="38"/>
  <c r="E94" i="38"/>
  <c r="G93" i="38"/>
  <c r="F93" i="38"/>
  <c r="E93" i="38"/>
  <c r="G85" i="38"/>
  <c r="F85" i="38"/>
  <c r="E85" i="38"/>
  <c r="G84" i="38"/>
  <c r="F84" i="38"/>
  <c r="E84" i="38"/>
  <c r="G114" i="38"/>
  <c r="F114" i="38"/>
  <c r="G80" i="38"/>
  <c r="F80" i="38"/>
  <c r="E80" i="38"/>
  <c r="G79" i="38"/>
  <c r="F79" i="38"/>
  <c r="E79" i="38"/>
  <c r="G75" i="38"/>
  <c r="F75" i="38"/>
  <c r="E75" i="38"/>
  <c r="G74" i="38"/>
  <c r="F74" i="38"/>
  <c r="E74" i="38"/>
  <c r="G113" i="38"/>
  <c r="F113" i="38"/>
  <c r="G70" i="38"/>
  <c r="F70" i="38"/>
  <c r="E70" i="38"/>
  <c r="G69" i="38"/>
  <c r="F69" i="38"/>
  <c r="E69" i="38"/>
  <c r="G111" i="38"/>
  <c r="F111" i="38"/>
  <c r="G112" i="38"/>
  <c r="F112" i="38"/>
  <c r="G65" i="38"/>
  <c r="F65" i="38"/>
  <c r="E65" i="38"/>
  <c r="G64" i="38"/>
  <c r="F64" i="38"/>
  <c r="E64" i="38"/>
  <c r="G60" i="38"/>
  <c r="F60" i="38"/>
  <c r="G59" i="38"/>
  <c r="F59" i="38"/>
  <c r="E60" i="38"/>
  <c r="E59" i="38"/>
  <c r="G54" i="38"/>
  <c r="G86" i="38" s="1"/>
  <c r="F54" i="38"/>
  <c r="F86" i="38" s="1"/>
  <c r="G53" i="38"/>
  <c r="G81" i="38" s="1"/>
  <c r="F53" i="38"/>
  <c r="F81" i="38" s="1"/>
  <c r="G52" i="38"/>
  <c r="G76" i="38" s="1"/>
  <c r="F52" i="38"/>
  <c r="F76" i="38" s="1"/>
  <c r="G51" i="38"/>
  <c r="G71" i="38" s="1"/>
  <c r="F51" i="38"/>
  <c r="F71" i="38" s="1"/>
  <c r="E54" i="38"/>
  <c r="E53" i="38"/>
  <c r="E52" i="38"/>
  <c r="E51" i="38"/>
  <c r="A1" i="40"/>
  <c r="D244" i="27"/>
  <c r="D61" i="52" s="1"/>
  <c r="G471" i="31"/>
  <c r="F471" i="31"/>
  <c r="E471" i="31"/>
  <c r="G466" i="31"/>
  <c r="F466" i="31"/>
  <c r="G541" i="31"/>
  <c r="G555" i="31" s="1"/>
  <c r="F541" i="31"/>
  <c r="F555" i="31" s="1"/>
  <c r="E541" i="31"/>
  <c r="E555" i="31" s="1"/>
  <c r="G537" i="31"/>
  <c r="G554" i="31" s="1"/>
  <c r="F537" i="31"/>
  <c r="F554" i="31" s="1"/>
  <c r="E537" i="31"/>
  <c r="E554" i="31" s="1"/>
  <c r="D280" i="27"/>
  <c r="D77" i="52" s="1"/>
  <c r="D276" i="27"/>
  <c r="D76" i="52" s="1"/>
  <c r="D272" i="27"/>
  <c r="D75" i="52" s="1"/>
  <c r="C482" i="31"/>
  <c r="G536" i="31"/>
  <c r="G547" i="31" s="1"/>
  <c r="E536" i="31"/>
  <c r="E547" i="31" s="1"/>
  <c r="C465" i="31"/>
  <c r="C397" i="31"/>
  <c r="E86" i="38" l="1"/>
  <c r="E134" i="38"/>
  <c r="E145" i="38" s="1"/>
  <c r="E81" i="38"/>
  <c r="E133" i="38"/>
  <c r="E144" i="38" s="1"/>
  <c r="E71" i="38"/>
  <c r="E131" i="38"/>
  <c r="E142" i="38" s="1"/>
  <c r="E76" i="38"/>
  <c r="E132" i="38"/>
  <c r="E143" i="38" s="1"/>
  <c r="D424" i="31"/>
  <c r="D503" i="31"/>
  <c r="D502" i="31"/>
  <c r="D500" i="31"/>
  <c r="E106" i="52"/>
  <c r="E91" i="52"/>
  <c r="E95" i="52"/>
  <c r="G91" i="52"/>
  <c r="G93" i="52"/>
  <c r="G95" i="52"/>
  <c r="G109" i="52"/>
  <c r="F115" i="52"/>
  <c r="E110" i="52"/>
  <c r="E89" i="52"/>
  <c r="E108" i="52"/>
  <c r="F106" i="52"/>
  <c r="E92" i="52"/>
  <c r="F90" i="52"/>
  <c r="F92" i="52"/>
  <c r="F94" i="52"/>
  <c r="F112" i="52"/>
  <c r="G115" i="52"/>
  <c r="F110" i="52"/>
  <c r="F117" i="52"/>
  <c r="F89" i="52"/>
  <c r="F108" i="52"/>
  <c r="G106" i="52"/>
  <c r="E93" i="52"/>
  <c r="G90" i="52"/>
  <c r="G92" i="52"/>
  <c r="G94" i="52"/>
  <c r="F111" i="52"/>
  <c r="G112" i="52"/>
  <c r="F113" i="52"/>
  <c r="E109" i="52"/>
  <c r="G110" i="52"/>
  <c r="F116" i="52"/>
  <c r="G117" i="52"/>
  <c r="G108" i="52"/>
  <c r="G89" i="52"/>
  <c r="E90" i="52"/>
  <c r="E94" i="52"/>
  <c r="F91" i="52"/>
  <c r="F93" i="52"/>
  <c r="F95" i="52"/>
  <c r="G111" i="52"/>
  <c r="G113" i="52"/>
  <c r="F109" i="52"/>
  <c r="G116" i="52"/>
  <c r="F18" i="30"/>
  <c r="H107" i="64" s="1"/>
  <c r="F23" i="30"/>
  <c r="H112" i="64" s="1"/>
  <c r="F19" i="30"/>
  <c r="H108" i="64" s="1"/>
  <c r="F15" i="30"/>
  <c r="H104" i="64" s="1"/>
  <c r="F20" i="30"/>
  <c r="H109" i="64" s="1"/>
  <c r="F16" i="30"/>
  <c r="H105" i="64" s="1"/>
  <c r="E154" i="38" l="1"/>
  <c r="E184" i="38"/>
  <c r="E206" i="38" s="1"/>
  <c r="E155" i="38"/>
  <c r="E185" i="38"/>
  <c r="E207" i="38" s="1"/>
  <c r="E183" i="38"/>
  <c r="E205" i="38" s="1"/>
  <c r="E153" i="38"/>
  <c r="E156" i="38"/>
  <c r="E186" i="38"/>
  <c r="E208" i="38" s="1"/>
  <c r="G371" i="31"/>
  <c r="G388" i="31" s="1"/>
  <c r="F371" i="31"/>
  <c r="F388" i="31" s="1"/>
  <c r="G370" i="31"/>
  <c r="G381" i="31" s="1"/>
  <c r="F370" i="31"/>
  <c r="F381" i="31" s="1"/>
  <c r="G375" i="31"/>
  <c r="G389" i="31" s="1"/>
  <c r="F375" i="31"/>
  <c r="F389" i="31" s="1"/>
  <c r="G374" i="31"/>
  <c r="G382" i="31" s="1"/>
  <c r="F374" i="31"/>
  <c r="F382" i="31" s="1"/>
  <c r="E375" i="31"/>
  <c r="E389" i="31" s="1"/>
  <c r="E374" i="31"/>
  <c r="E382" i="31" s="1"/>
  <c r="E371" i="31"/>
  <c r="E388" i="31" s="1"/>
  <c r="E370" i="31"/>
  <c r="E381" i="31" s="1"/>
  <c r="E166" i="38" l="1"/>
  <c r="E196" i="38"/>
  <c r="E164" i="38"/>
  <c r="E194" i="38"/>
  <c r="E197" i="38"/>
  <c r="E167" i="38"/>
  <c r="E165" i="38"/>
  <c r="E195" i="38"/>
  <c r="D111" i="27"/>
  <c r="D24" i="31" s="1"/>
  <c r="E75" i="48" l="1"/>
  <c r="E71" i="48"/>
  <c r="E67" i="48"/>
  <c r="G53" i="40" l="1"/>
  <c r="F53" i="40"/>
  <c r="E53" i="40"/>
  <c r="F54" i="40"/>
  <c r="G92" i="56"/>
  <c r="E92" i="56"/>
  <c r="G75" i="48"/>
  <c r="F75" i="48"/>
  <c r="G49" i="40"/>
  <c r="F49" i="40"/>
  <c r="E49" i="40"/>
  <c r="F50" i="40"/>
  <c r="G84" i="56"/>
  <c r="E84" i="56"/>
  <c r="G71" i="48"/>
  <c r="F71" i="48"/>
  <c r="G42" i="40"/>
  <c r="F42" i="40"/>
  <c r="E42" i="40"/>
  <c r="F43" i="40"/>
  <c r="G31" i="56"/>
  <c r="E31" i="56"/>
  <c r="G67" i="48"/>
  <c r="F67" i="48"/>
  <c r="G38" i="40"/>
  <c r="F38" i="40"/>
  <c r="E38" i="40"/>
  <c r="F39" i="40"/>
  <c r="G20" i="52"/>
  <c r="F20" i="52"/>
  <c r="E20" i="52"/>
  <c r="G423" i="31" l="1"/>
  <c r="G491" i="31"/>
  <c r="E487" i="31"/>
  <c r="E423" i="31"/>
  <c r="F487" i="31"/>
  <c r="E491" i="31"/>
  <c r="F423" i="31"/>
  <c r="G487" i="31"/>
  <c r="F491" i="31"/>
  <c r="E121" i="48"/>
  <c r="E23" i="52"/>
  <c r="G27" i="52"/>
  <c r="E81" i="52"/>
  <c r="E40" i="52"/>
  <c r="G29" i="52"/>
  <c r="E85" i="52"/>
  <c r="F121" i="48"/>
  <c r="F23" i="52"/>
  <c r="E38" i="52"/>
  <c r="F40" i="52"/>
  <c r="E42" i="52"/>
  <c r="G121" i="48"/>
  <c r="G23" i="52"/>
  <c r="F38" i="52"/>
  <c r="E28" i="52"/>
  <c r="G40" i="52"/>
  <c r="E82" i="52"/>
  <c r="F42" i="52"/>
  <c r="E27" i="52"/>
  <c r="G38" i="52"/>
  <c r="E80" i="52"/>
  <c r="G28" i="52"/>
  <c r="E83" i="52"/>
  <c r="E29" i="52"/>
  <c r="G42" i="52"/>
  <c r="E84" i="52"/>
  <c r="E91" i="48"/>
  <c r="F91" i="48"/>
  <c r="G91" i="48"/>
  <c r="D5" i="39" l="1"/>
  <c r="D4" i="39" s="1"/>
  <c r="A1" i="39"/>
  <c r="A1" i="38"/>
  <c r="G295" i="31" l="1"/>
  <c r="G291" i="31"/>
  <c r="G265" i="31"/>
  <c r="F265" i="31"/>
  <c r="E265" i="31"/>
  <c r="D265" i="31"/>
  <c r="G245" i="31"/>
  <c r="G241" i="31"/>
  <c r="G118" i="31"/>
  <c r="G114" i="31"/>
  <c r="G83" i="31"/>
  <c r="F83" i="31"/>
  <c r="E83" i="31"/>
  <c r="G76" i="31"/>
  <c r="F76" i="31"/>
  <c r="E76" i="31"/>
  <c r="D76" i="31"/>
  <c r="G64" i="31"/>
  <c r="D83" i="31"/>
  <c r="G68" i="31"/>
  <c r="G79" i="31"/>
  <c r="G87" i="31" s="1"/>
  <c r="F79" i="31"/>
  <c r="F87" i="31" s="1"/>
  <c r="E79" i="31"/>
  <c r="E87" i="31" s="1"/>
  <c r="D79" i="31"/>
  <c r="D87" i="31" s="1"/>
  <c r="D80" i="27" l="1"/>
  <c r="D79" i="27"/>
  <c r="D22" i="52" s="1"/>
  <c r="D78" i="27"/>
  <c r="D21" i="52" s="1"/>
  <c r="D59" i="27"/>
  <c r="D75" i="48" s="1"/>
  <c r="D58" i="27"/>
  <c r="D71" i="48" s="1"/>
  <c r="D57" i="27"/>
  <c r="D67" i="48" s="1"/>
  <c r="D56" i="27"/>
  <c r="D63" i="48" s="1"/>
  <c r="D77" i="27"/>
  <c r="D20" i="52" s="1"/>
  <c r="D312" i="27"/>
  <c r="D51" i="40" s="1"/>
  <c r="D307" i="27"/>
  <c r="D47" i="40" s="1"/>
  <c r="D302" i="27"/>
  <c r="D40" i="40" s="1"/>
  <c r="D297" i="27"/>
  <c r="D36" i="40" s="1"/>
  <c r="D287" i="27"/>
  <c r="D26" i="40" s="1"/>
  <c r="D327" i="27"/>
  <c r="D20" i="62" s="1"/>
  <c r="D326" i="27"/>
  <c r="D19" i="62" s="1"/>
  <c r="D325" i="27"/>
  <c r="D18" i="62" s="1"/>
  <c r="D324" i="27"/>
  <c r="D17" i="62" s="1"/>
  <c r="D323" i="27"/>
  <c r="D16" i="62" s="1"/>
  <c r="D322" i="27"/>
  <c r="D15" i="62" s="1"/>
  <c r="D321" i="27"/>
  <c r="D14" i="62" s="1"/>
  <c r="D320" i="27"/>
  <c r="D13" i="62" s="1"/>
  <c r="D319" i="27"/>
  <c r="D12" i="62" s="1"/>
  <c r="E26" i="40"/>
  <c r="D318" i="27"/>
  <c r="D11" i="62" s="1"/>
  <c r="D306" i="27"/>
  <c r="D49" i="40" s="1"/>
  <c r="D308" i="27"/>
  <c r="D50" i="40" s="1"/>
  <c r="D305" i="27"/>
  <c r="D48" i="40" s="1"/>
  <c r="D311" i="27"/>
  <c r="D53" i="40" s="1"/>
  <c r="D313" i="27"/>
  <c r="D54" i="40" s="1"/>
  <c r="D310" i="27"/>
  <c r="D52" i="40" s="1"/>
  <c r="D301" i="27"/>
  <c r="D42" i="40" s="1"/>
  <c r="D303" i="27"/>
  <c r="D43" i="40" s="1"/>
  <c r="D300" i="27"/>
  <c r="D41" i="40" s="1"/>
  <c r="D296" i="27"/>
  <c r="D38" i="40" s="1"/>
  <c r="D298" i="27"/>
  <c r="D39" i="40" s="1"/>
  <c r="D295" i="27"/>
  <c r="D37" i="40" s="1"/>
  <c r="D212" i="27"/>
  <c r="E466" i="31"/>
  <c r="D216" i="27"/>
  <c r="D475" i="31" s="1"/>
  <c r="D209" i="27"/>
  <c r="D407" i="31" s="1"/>
  <c r="D205" i="27"/>
  <c r="A1" i="36"/>
  <c r="G41" i="31"/>
  <c r="F41" i="31"/>
  <c r="C189" i="31"/>
  <c r="D398" i="31" l="1"/>
  <c r="D466" i="31"/>
  <c r="D121" i="48"/>
  <c r="D23" i="52"/>
  <c r="D91" i="48"/>
  <c r="D93" i="48"/>
  <c r="D119" i="48"/>
  <c r="D123" i="27" l="1"/>
  <c r="D201" i="31" s="1"/>
  <c r="G33" i="31"/>
  <c r="G36" i="31"/>
  <c r="F36" i="31"/>
  <c r="E36" i="31"/>
  <c r="G287" i="31"/>
  <c r="G278" i="31"/>
  <c r="G237" i="31"/>
  <c r="G228" i="31"/>
  <c r="G110" i="31"/>
  <c r="G101" i="31"/>
  <c r="G60" i="31"/>
  <c r="G51" i="31"/>
  <c r="D122" i="27"/>
  <c r="D210" i="31" s="1"/>
  <c r="E33" i="31"/>
  <c r="D110" i="27"/>
  <c r="D33" i="31" l="1"/>
  <c r="D41" i="31"/>
  <c r="D278" i="27"/>
  <c r="D492" i="31" s="1"/>
  <c r="D274" i="27"/>
  <c r="D270" i="27"/>
  <c r="D261" i="27"/>
  <c r="D488" i="31" s="1"/>
  <c r="D257" i="27"/>
  <c r="D253" i="27"/>
  <c r="D240" i="27"/>
  <c r="D236" i="27"/>
  <c r="D227" i="27"/>
  <c r="D223" i="27"/>
  <c r="D219" i="27"/>
  <c r="G282" i="31"/>
  <c r="G273" i="31"/>
  <c r="G191" i="31"/>
  <c r="F191" i="31"/>
  <c r="G232" i="31"/>
  <c r="G223" i="31"/>
  <c r="G190" i="31"/>
  <c r="F190" i="31"/>
  <c r="E190" i="31"/>
  <c r="D196" i="27"/>
  <c r="D178" i="27"/>
  <c r="D160" i="27"/>
  <c r="D120" i="31" s="1"/>
  <c r="D142" i="27"/>
  <c r="D70" i="31" s="1"/>
  <c r="D143" i="27"/>
  <c r="D65" i="31" s="1"/>
  <c r="D155" i="27"/>
  <c r="D111" i="31" s="1"/>
  <c r="D154" i="27"/>
  <c r="D107" i="31" s="1"/>
  <c r="D153" i="27"/>
  <c r="D106" i="31" s="1"/>
  <c r="D152" i="27"/>
  <c r="D102" i="31" s="1"/>
  <c r="D191" i="27"/>
  <c r="D190" i="27"/>
  <c r="D189" i="27"/>
  <c r="D188" i="27"/>
  <c r="D173" i="27"/>
  <c r="D172" i="27"/>
  <c r="D171" i="27"/>
  <c r="D170" i="27"/>
  <c r="D134" i="27"/>
  <c r="D52" i="31" s="1"/>
  <c r="D137" i="27"/>
  <c r="D61" i="31" s="1"/>
  <c r="E56" i="31"/>
  <c r="G224" i="31"/>
  <c r="F224" i="31"/>
  <c r="E224" i="31"/>
  <c r="F47" i="31"/>
  <c r="D187" i="27"/>
  <c r="D186" i="27"/>
  <c r="G274" i="31"/>
  <c r="F274" i="31"/>
  <c r="E274" i="31"/>
  <c r="G97" i="31"/>
  <c r="F97" i="31"/>
  <c r="G106" i="31"/>
  <c r="F106" i="31"/>
  <c r="E106" i="31"/>
  <c r="E97" i="31"/>
  <c r="D169" i="27"/>
  <c r="D168" i="27"/>
  <c r="G105" i="31"/>
  <c r="D151" i="27"/>
  <c r="D98" i="31" s="1"/>
  <c r="D150" i="27"/>
  <c r="D97" i="31" s="1"/>
  <c r="G96" i="31"/>
  <c r="G46" i="31"/>
  <c r="G55" i="31"/>
  <c r="D133" i="27"/>
  <c r="D132" i="27"/>
  <c r="D136" i="27"/>
  <c r="D57" i="31" s="1"/>
  <c r="D135" i="27"/>
  <c r="D56" i="31" s="1"/>
  <c r="G56" i="31"/>
  <c r="F56" i="31"/>
  <c r="E131" i="48"/>
  <c r="E101" i="48"/>
  <c r="D54" i="27"/>
  <c r="D53" i="27"/>
  <c r="D27" i="27"/>
  <c r="D19" i="52" s="1"/>
  <c r="D30" i="27"/>
  <c r="D18" i="52" s="1"/>
  <c r="D29" i="27"/>
  <c r="D17" i="52" s="1"/>
  <c r="D26" i="27"/>
  <c r="D25" i="27"/>
  <c r="D23" i="27"/>
  <c r="D13" i="48" s="1"/>
  <c r="D22" i="27"/>
  <c r="D21" i="27"/>
  <c r="D20" i="27"/>
  <c r="D19" i="27"/>
  <c r="D28" i="27"/>
  <c r="D18" i="27"/>
  <c r="D59" i="52" l="1"/>
  <c r="D420" i="31"/>
  <c r="D47" i="31"/>
  <c r="D48" i="31"/>
  <c r="D101" i="48"/>
  <c r="D65" i="52"/>
  <c r="D63" i="52"/>
  <c r="D225" i="31"/>
  <c r="D238" i="31"/>
  <c r="D288" i="31"/>
  <c r="D60" i="52"/>
  <c r="D421" i="31"/>
  <c r="D38" i="52"/>
  <c r="D42" i="52"/>
  <c r="D229" i="31"/>
  <c r="D279" i="31"/>
  <c r="D37" i="52"/>
  <c r="D58" i="52"/>
  <c r="D417" i="31"/>
  <c r="D423" i="31"/>
  <c r="D64" i="52"/>
  <c r="D489" i="31"/>
  <c r="D275" i="31"/>
  <c r="D233" i="31"/>
  <c r="D283" i="31"/>
  <c r="D419" i="31"/>
  <c r="D62" i="52"/>
  <c r="D485" i="31"/>
  <c r="D491" i="31"/>
  <c r="D40" i="52"/>
  <c r="D234" i="31"/>
  <c r="D284" i="31"/>
  <c r="D487" i="31"/>
  <c r="D15" i="52"/>
  <c r="D16" i="52"/>
  <c r="D36" i="52"/>
  <c r="D14" i="52"/>
  <c r="D224" i="31"/>
  <c r="D274" i="31"/>
  <c r="D42" i="48"/>
  <c r="D12" i="48"/>
  <c r="D43" i="48"/>
  <c r="D47" i="48"/>
  <c r="D20" i="48"/>
  <c r="D21" i="48"/>
  <c r="D46" i="48"/>
  <c r="D17" i="48"/>
  <c r="D50" i="48"/>
  <c r="D131" i="48"/>
  <c r="D51" i="48"/>
  <c r="D16" i="48"/>
  <c r="E12" i="48"/>
  <c r="E17" i="48"/>
  <c r="E20" i="48"/>
  <c r="E21" i="48"/>
  <c r="E16" i="48"/>
  <c r="E13" i="48"/>
  <c r="D247" i="31"/>
  <c r="D297" i="31"/>
  <c r="E47" i="31"/>
  <c r="G47" i="31"/>
  <c r="D197" i="27" l="1"/>
  <c r="D194" i="27"/>
  <c r="D179" i="27"/>
  <c r="D176" i="27"/>
  <c r="D161" i="27"/>
  <c r="D115" i="31" s="1"/>
  <c r="D158" i="27"/>
  <c r="D125" i="31" s="1"/>
  <c r="D140" i="27"/>
  <c r="D75" i="31" s="1"/>
  <c r="D241" i="27"/>
  <c r="D215" i="27"/>
  <c r="D213" i="27"/>
  <c r="D474" i="31" s="1"/>
  <c r="D208" i="27"/>
  <c r="D220" i="27"/>
  <c r="G13" i="31"/>
  <c r="F13" i="31"/>
  <c r="E13" i="31"/>
  <c r="D252" i="31" l="1"/>
  <c r="D41" i="52"/>
  <c r="D302" i="31"/>
  <c r="D399" i="31"/>
  <c r="D467" i="31"/>
  <c r="D39" i="52"/>
  <c r="D43" i="52"/>
  <c r="D78" i="52"/>
  <c r="D81" i="52"/>
  <c r="D242" i="31"/>
  <c r="D292" i="31"/>
  <c r="D291" i="31"/>
  <c r="D114" i="31"/>
  <c r="D295" i="31"/>
  <c r="D118" i="31"/>
  <c r="D68" i="31"/>
  <c r="D241" i="31"/>
  <c r="D64" i="31"/>
  <c r="D245" i="31"/>
  <c r="D60" i="31"/>
  <c r="D51" i="31"/>
  <c r="D287" i="31"/>
  <c r="D278" i="31"/>
  <c r="D237" i="31"/>
  <c r="D110" i="31"/>
  <c r="D228" i="31"/>
  <c r="D101" i="31"/>
  <c r="D36" i="31"/>
  <c r="D273" i="31"/>
  <c r="D232" i="31"/>
  <c r="D223" i="31"/>
  <c r="D282" i="31"/>
  <c r="D105" i="31"/>
  <c r="D96" i="31"/>
  <c r="D46" i="31"/>
  <c r="D55" i="31"/>
  <c r="D206" i="27" l="1"/>
  <c r="D406" i="31" s="1"/>
  <c r="D275" i="27"/>
  <c r="D271" i="27"/>
  <c r="D201" i="27"/>
  <c r="D200" i="27"/>
  <c r="D199" i="27"/>
  <c r="D263" i="27"/>
  <c r="D74" i="52" s="1"/>
  <c r="D259" i="27"/>
  <c r="D73" i="52" s="1"/>
  <c r="D255" i="27"/>
  <c r="D72" i="52" s="1"/>
  <c r="D258" i="27"/>
  <c r="D254" i="27"/>
  <c r="D183" i="27"/>
  <c r="D182" i="27"/>
  <c r="D181" i="27"/>
  <c r="D246" i="27"/>
  <c r="D71" i="52" s="1"/>
  <c r="D242" i="27"/>
  <c r="D70" i="52" s="1"/>
  <c r="D238" i="27"/>
  <c r="D69" i="52" s="1"/>
  <c r="D237" i="27"/>
  <c r="D165" i="27"/>
  <c r="D164" i="27"/>
  <c r="D163" i="27"/>
  <c r="D224" i="27"/>
  <c r="D229" i="27"/>
  <c r="D68" i="52" s="1"/>
  <c r="D225" i="27"/>
  <c r="D67" i="52" s="1"/>
  <c r="D221" i="27"/>
  <c r="D66" i="52" s="1"/>
  <c r="D147" i="27"/>
  <c r="D145" i="27"/>
  <c r="E191" i="31"/>
  <c r="D80" i="31" l="1"/>
  <c r="D84" i="31"/>
  <c r="D431" i="31"/>
  <c r="D435" i="31"/>
  <c r="D499" i="31"/>
  <c r="D428" i="31"/>
  <c r="D432" i="31"/>
  <c r="D496" i="31"/>
  <c r="D430" i="31"/>
  <c r="D434" i="31"/>
  <c r="D498" i="31"/>
  <c r="D44" i="52"/>
  <c r="D49" i="52"/>
  <c r="D82" i="52"/>
  <c r="D84" i="52"/>
  <c r="D46" i="52"/>
  <c r="D79" i="52"/>
  <c r="D80" i="52"/>
  <c r="D50" i="52"/>
  <c r="D83" i="52"/>
  <c r="D53" i="52"/>
  <c r="D85" i="52"/>
  <c r="D47" i="52"/>
  <c r="D51" i="52"/>
  <c r="D54" i="52"/>
  <c r="D48" i="52"/>
  <c r="D52" i="52"/>
  <c r="D55" i="52"/>
  <c r="D311" i="31"/>
  <c r="D307" i="31"/>
  <c r="D134" i="31"/>
  <c r="D130" i="31"/>
  <c r="D257" i="31"/>
  <c r="D261" i="31"/>
  <c r="D36" i="27" l="1"/>
  <c r="D14" i="27"/>
  <c r="D28" i="38" s="1"/>
  <c r="D146" i="27"/>
  <c r="D104" i="27"/>
  <c r="D95" i="27"/>
  <c r="D92" i="56" s="1"/>
  <c r="D103" i="27"/>
  <c r="D94" i="27"/>
  <c r="D84" i="56" s="1"/>
  <c r="D102" i="27"/>
  <c r="D93" i="27"/>
  <c r="D31" i="56" s="1"/>
  <c r="D101" i="27"/>
  <c r="D92" i="27"/>
  <c r="D23" i="56" s="1"/>
  <c r="D38" i="27"/>
  <c r="D120" i="27"/>
  <c r="D108" i="27"/>
  <c r="D14" i="31" s="1"/>
  <c r="D88" i="27"/>
  <c r="D75" i="56" s="1"/>
  <c r="D87" i="27"/>
  <c r="D22" i="38" l="1"/>
  <c r="D11" i="52"/>
  <c r="D18" i="33"/>
  <c r="D191" i="31"/>
  <c r="D14" i="56"/>
  <c r="D28" i="52"/>
  <c r="D30" i="52"/>
  <c r="D32" i="52"/>
  <c r="D33" i="52"/>
  <c r="D26" i="52"/>
  <c r="D45" i="52"/>
  <c r="D27" i="52"/>
  <c r="D29" i="52"/>
  <c r="D31" i="52"/>
  <c r="F14" i="33" l="1"/>
  <c r="D14" i="33"/>
  <c r="A1" i="33"/>
  <c r="G14" i="31"/>
  <c r="F14" i="31"/>
  <c r="A1" i="31"/>
  <c r="A1" i="30" l="1"/>
  <c r="E14" i="31" l="1"/>
  <c r="G14" i="33" l="1"/>
  <c r="E14" i="33" l="1"/>
  <c r="A1" i="27"/>
  <c r="E64" i="52" l="1"/>
  <c r="E60" i="52"/>
  <c r="G64" i="52"/>
  <c r="F64" i="52"/>
  <c r="G62" i="52"/>
  <c r="F62" i="52"/>
  <c r="E62" i="52"/>
  <c r="G60" i="52"/>
  <c r="F60" i="52"/>
  <c r="G58" i="52"/>
  <c r="F58" i="52"/>
  <c r="E58" i="52" l="1"/>
  <c r="G81" i="52" l="1"/>
  <c r="G80" i="52"/>
  <c r="G83" i="52"/>
  <c r="G82" i="52"/>
  <c r="H101" i="48" l="1"/>
  <c r="H131" i="48"/>
  <c r="E28" i="62" l="1"/>
  <c r="E29" i="62"/>
  <c r="E30" i="62"/>
  <c r="E18" i="62"/>
  <c r="E19" i="62"/>
  <c r="E20" i="62"/>
  <c r="H20" i="62" l="1"/>
  <c r="H30" i="62"/>
  <c r="H19" i="62"/>
  <c r="H29" i="62"/>
  <c r="H18" i="62"/>
  <c r="H28" i="62"/>
  <c r="F33" i="31" l="1"/>
  <c r="H27" i="40" l="1"/>
  <c r="H30" i="40"/>
  <c r="H28" i="40" l="1"/>
  <c r="H31" i="40"/>
  <c r="H12" i="48" l="1"/>
  <c r="H13" i="48"/>
  <c r="H14" i="48" l="1"/>
  <c r="H24" i="48" l="1"/>
  <c r="H28" i="48"/>
  <c r="H27" i="62"/>
  <c r="H26" i="62"/>
  <c r="H25" i="62"/>
  <c r="H24" i="62"/>
  <c r="H23" i="62"/>
  <c r="H22" i="62"/>
  <c r="H21" i="62"/>
  <c r="H17" i="62"/>
  <c r="H16" i="62"/>
  <c r="H15" i="62"/>
  <c r="H14" i="62"/>
  <c r="H13" i="62"/>
  <c r="H12" i="62"/>
  <c r="H11" i="62"/>
  <c r="H77" i="62" l="1"/>
  <c r="H72" i="62"/>
  <c r="H31" i="62"/>
  <c r="H64" i="62" s="1"/>
  <c r="E27" i="62"/>
  <c r="E26" i="62"/>
  <c r="E25" i="62"/>
  <c r="E24" i="62"/>
  <c r="E23" i="62"/>
  <c r="E22" i="62"/>
  <c r="E21" i="62"/>
  <c r="E17" i="62"/>
  <c r="E16" i="62"/>
  <c r="E15" i="62"/>
  <c r="E14" i="62"/>
  <c r="E13" i="62"/>
  <c r="E12" i="62"/>
  <c r="E11" i="62"/>
  <c r="H21" i="48" l="1"/>
  <c r="H20" i="48"/>
  <c r="H17" i="48"/>
  <c r="H16" i="48"/>
  <c r="H18" i="48" l="1"/>
  <c r="H25" i="48" s="1"/>
  <c r="H26" i="48" s="1"/>
  <c r="H97" i="48" s="1"/>
  <c r="H22" i="48"/>
  <c r="H29" i="48" l="1"/>
  <c r="H30" i="48" s="1"/>
  <c r="H126" i="48" s="1"/>
  <c r="H14" i="31"/>
  <c r="H15" i="31" s="1"/>
  <c r="H36" i="31" s="1"/>
  <c r="H18" i="31" l="1"/>
  <c r="H19" i="31" l="1"/>
  <c r="H20" i="31" s="1"/>
  <c r="H40" i="31" s="1"/>
  <c r="H398" i="31"/>
  <c r="H191" i="31" l="1"/>
  <c r="H192" i="31" s="1"/>
  <c r="H213" i="31" s="1"/>
  <c r="H195" i="31" l="1"/>
  <c r="H196" i="31" l="1"/>
  <c r="H197" i="31" s="1"/>
  <c r="H217" i="31" s="1"/>
  <c r="H466" i="31" l="1"/>
  <c r="H474" i="31" l="1"/>
  <c r="H406" i="31"/>
  <c r="H14" i="56" l="1"/>
  <c r="H75" i="56"/>
  <c r="H76" i="56" l="1"/>
  <c r="H120" i="56" s="1"/>
  <c r="H15" i="56"/>
  <c r="H56" i="56" s="1"/>
  <c r="H79" i="56"/>
  <c r="H80" i="56" s="1"/>
  <c r="H18" i="56"/>
  <c r="H19" i="56" s="1"/>
  <c r="H154" i="56" l="1"/>
  <c r="H126" i="56"/>
  <c r="H109" i="56"/>
  <c r="H147" i="56"/>
  <c r="H47" i="56"/>
  <c r="H61" i="56"/>
  <c r="H38" i="31" l="1"/>
  <c r="H172" i="31" l="1"/>
  <c r="H41" i="31"/>
  <c r="H215" i="31"/>
  <c r="H352" i="31" s="1"/>
  <c r="H219" i="31"/>
  <c r="H387" i="31" s="1"/>
  <c r="H467" i="31"/>
  <c r="H468" i="31" s="1"/>
  <c r="H471" i="31" s="1"/>
  <c r="H358" i="31" l="1"/>
  <c r="H341" i="31"/>
  <c r="H472" i="31"/>
  <c r="H519" i="31" s="1"/>
  <c r="H475" i="31"/>
  <c r="H476" i="31" s="1"/>
  <c r="H479" i="31" l="1"/>
  <c r="H480" i="31" s="1"/>
  <c r="H553" i="31" s="1"/>
  <c r="H508" i="31" l="1"/>
  <c r="H525" i="31"/>
  <c r="H399" i="31"/>
  <c r="H400" i="31" s="1"/>
  <c r="H403" i="31" s="1"/>
  <c r="H404" i="31" s="1"/>
  <c r="H448" i="31" l="1"/>
  <c r="H407" i="31"/>
  <c r="H408" i="31" s="1"/>
  <c r="H411" i="31" l="1"/>
  <c r="H412" i="31" s="1"/>
  <c r="H546" i="31" s="1"/>
  <c r="H439" i="31" l="1"/>
  <c r="H453" i="31"/>
  <c r="H26" i="40"/>
  <c r="H29" i="40" l="1"/>
  <c r="H10" i="40"/>
  <c r="H14" i="40" l="1"/>
  <c r="H11" i="40"/>
  <c r="H12" i="40" s="1"/>
  <c r="H32" i="40" s="1"/>
  <c r="H70" i="40" s="1"/>
  <c r="H15" i="40" l="1"/>
  <c r="H16" i="40" s="1"/>
  <c r="H33" i="40" s="1"/>
  <c r="H75" i="40" s="1"/>
  <c r="H12" i="38"/>
  <c r="H33" i="48"/>
  <c r="H34" i="48" l="1"/>
  <c r="H109" i="48" s="1"/>
  <c r="H13" i="38"/>
  <c r="H21" i="38" s="1"/>
  <c r="H34" i="40"/>
  <c r="H62" i="40" s="1"/>
  <c r="H16" i="38"/>
  <c r="H37" i="48"/>
  <c r="H38" i="48" l="1"/>
  <c r="H140" i="48" s="1"/>
  <c r="H17" i="38"/>
  <c r="H23" i="38" s="1"/>
  <c r="H20" i="38"/>
  <c r="H13" i="33"/>
  <c r="H22" i="38" l="1"/>
  <c r="H24" i="38" s="1"/>
  <c r="H14" i="33"/>
  <c r="H15" i="33" s="1"/>
  <c r="H22" i="33" s="1"/>
  <c r="G13" i="30" l="1"/>
  <c r="H102" i="52"/>
  <c r="K102" i="52" s="1"/>
  <c r="L102" i="52" s="1"/>
  <c r="H31" i="38"/>
  <c r="J102" i="52" l="1"/>
  <c r="H13" i="30"/>
  <c r="F302" i="31" l="1"/>
  <c r="F252" i="31"/>
  <c r="F75" i="31"/>
  <c r="G84" i="52" l="1"/>
  <c r="G85" i="52" l="1"/>
  <c r="F95" i="56"/>
  <c r="E30" i="56"/>
  <c r="E60" i="31"/>
  <c r="E118" i="31"/>
  <c r="E232" i="31"/>
  <c r="E416" i="31"/>
  <c r="E51" i="31"/>
  <c r="E278" i="31"/>
  <c r="E484" i="31"/>
  <c r="E241" i="31"/>
  <c r="E427" i="31"/>
  <c r="E95" i="56"/>
  <c r="E245" i="31"/>
  <c r="E34" i="56"/>
  <c r="E223" i="31"/>
  <c r="E66" i="48"/>
  <c r="E237" i="31"/>
  <c r="E282" i="31"/>
  <c r="E291" i="31"/>
  <c r="E114" i="31"/>
  <c r="E91" i="56"/>
  <c r="E101" i="31"/>
  <c r="E110" i="31"/>
  <c r="E74" i="48"/>
  <c r="E96" i="31"/>
  <c r="E70" i="48"/>
  <c r="E228" i="31"/>
  <c r="E55" i="31"/>
  <c r="E46" i="31"/>
  <c r="E495" i="31"/>
  <c r="E26" i="56"/>
  <c r="E287" i="31"/>
  <c r="E273" i="31"/>
  <c r="E68" i="31"/>
  <c r="E295" i="31"/>
  <c r="E83" i="56"/>
  <c r="E62" i="48"/>
  <c r="E22" i="56"/>
  <c r="E64" i="31"/>
  <c r="E105" i="31"/>
  <c r="E87" i="56"/>
  <c r="F291" i="31" l="1"/>
  <c r="F64" i="31"/>
  <c r="F484" i="31"/>
  <c r="F34" i="56"/>
  <c r="F87" i="56"/>
  <c r="F245" i="31"/>
  <c r="F66" i="48"/>
  <c r="F83" i="56"/>
  <c r="F287" i="31"/>
  <c r="F55" i="31"/>
  <c r="F46" i="31"/>
  <c r="F26" i="56"/>
  <c r="F60" i="31"/>
  <c r="F30" i="56"/>
  <c r="F110" i="31"/>
  <c r="F278" i="31"/>
  <c r="F228" i="31"/>
  <c r="F427" i="31"/>
  <c r="F105" i="31"/>
  <c r="F51" i="31"/>
  <c r="F295" i="31"/>
  <c r="F68" i="31"/>
  <c r="F118" i="31"/>
  <c r="F416" i="31"/>
  <c r="F62" i="48"/>
  <c r="F232" i="31"/>
  <c r="F74" i="48"/>
  <c r="F114" i="31"/>
  <c r="F91" i="56"/>
  <c r="F70" i="48"/>
  <c r="F241" i="31"/>
  <c r="F223" i="31"/>
  <c r="F96" i="31"/>
  <c r="F282" i="31"/>
  <c r="F101" i="31"/>
  <c r="F22" i="56"/>
  <c r="F237" i="31"/>
  <c r="F273" i="31"/>
  <c r="F495" i="31"/>
  <c r="G28" i="38" l="1"/>
  <c r="F28" i="38"/>
  <c r="E28" i="38"/>
  <c r="E296" i="31"/>
  <c r="E283" i="31"/>
  <c r="G296" i="31"/>
  <c r="F296" i="31"/>
  <c r="G283" i="31"/>
  <c r="F283" i="31"/>
  <c r="G246" i="31"/>
  <c r="F246" i="31"/>
  <c r="E246" i="31"/>
  <c r="G233" i="31"/>
  <c r="F233" i="31"/>
  <c r="E233" i="31"/>
  <c r="E27" i="38"/>
  <c r="G36" i="40"/>
  <c r="F36" i="40"/>
  <c r="E36" i="40"/>
  <c r="G61" i="52" l="1"/>
  <c r="G424" i="31"/>
  <c r="F61" i="52"/>
  <c r="F424" i="31"/>
  <c r="F27" i="38"/>
  <c r="G27" i="38"/>
  <c r="F11" i="52"/>
  <c r="F21" i="52"/>
  <c r="F93" i="48"/>
  <c r="G21" i="52"/>
  <c r="G93" i="48"/>
  <c r="F22" i="52"/>
  <c r="F119" i="48"/>
  <c r="G11" i="52"/>
  <c r="G22" i="52"/>
  <c r="G119" i="48"/>
  <c r="E21" i="52" l="1"/>
  <c r="E93" i="48"/>
  <c r="E11" i="52"/>
  <c r="E22" i="52"/>
  <c r="E119" i="48"/>
  <c r="F70" i="52" l="1"/>
  <c r="F434" i="31"/>
  <c r="F73" i="52" l="1"/>
  <c r="F498" i="31"/>
  <c r="F76" i="52" l="1"/>
  <c r="F502" i="31"/>
  <c r="H42" i="31" l="1"/>
  <c r="H177" i="31" l="1"/>
  <c r="H380" i="31"/>
  <c r="H163" i="31"/>
  <c r="G302" i="31" l="1"/>
  <c r="H194" i="27"/>
  <c r="H302" i="31" s="1"/>
  <c r="E302" i="31"/>
  <c r="G252" i="31"/>
  <c r="H176" i="27"/>
  <c r="H252" i="31" s="1"/>
  <c r="E252" i="31"/>
  <c r="G125" i="31"/>
  <c r="H158" i="27"/>
  <c r="H125" i="31" s="1"/>
  <c r="E125" i="31"/>
  <c r="G75" i="31"/>
  <c r="H140" i="27"/>
  <c r="H75" i="31" s="1"/>
  <c r="E75" i="31"/>
  <c r="H201" i="27"/>
  <c r="H183" i="27"/>
  <c r="H165" i="27"/>
  <c r="E45" i="52"/>
  <c r="F45" i="52"/>
  <c r="G45" i="52"/>
  <c r="H147" i="27"/>
  <c r="H146" i="27"/>
  <c r="H45" i="52" s="1"/>
  <c r="K45" i="52" s="1"/>
  <c r="E54" i="52"/>
  <c r="F54" i="52"/>
  <c r="G54" i="52"/>
  <c r="E51" i="52"/>
  <c r="F51" i="52"/>
  <c r="G51" i="52"/>
  <c r="H200" i="27"/>
  <c r="H54" i="52" s="1"/>
  <c r="K54" i="52" s="1"/>
  <c r="H182" i="27"/>
  <c r="H51" i="52" s="1"/>
  <c r="K51" i="52" s="1"/>
  <c r="E48" i="52"/>
  <c r="F48" i="52"/>
  <c r="G48" i="52"/>
  <c r="H164" i="27"/>
  <c r="H48" i="52" s="1"/>
  <c r="K48" i="52" s="1"/>
  <c r="E58" i="62"/>
  <c r="F58" i="62"/>
  <c r="G58" i="62"/>
  <c r="E57" i="62"/>
  <c r="F57" i="62"/>
  <c r="G57" i="62"/>
  <c r="G51" i="62"/>
  <c r="F51" i="62"/>
  <c r="E51" i="62"/>
  <c r="G50" i="62"/>
  <c r="F50" i="62"/>
  <c r="E50" i="62"/>
  <c r="E44" i="62"/>
  <c r="F44" i="62"/>
  <c r="G44" i="62"/>
  <c r="E43" i="62"/>
  <c r="F43" i="62"/>
  <c r="G43" i="62"/>
  <c r="E37" i="62"/>
  <c r="F37" i="62"/>
  <c r="G37" i="62"/>
  <c r="E36" i="62"/>
  <c r="F36" i="62"/>
  <c r="G36" i="62"/>
  <c r="E297" i="31"/>
  <c r="E288" i="31"/>
  <c r="E284" i="31"/>
  <c r="E279" i="31"/>
  <c r="E275" i="31"/>
  <c r="E54" i="40"/>
  <c r="E120" i="31"/>
  <c r="E111" i="31"/>
  <c r="E107" i="31"/>
  <c r="E102" i="31"/>
  <c r="E98" i="31"/>
  <c r="E43" i="40"/>
  <c r="H371" i="27"/>
  <c r="H61" i="62" s="1"/>
  <c r="H370" i="27"/>
  <c r="H60" i="62" s="1"/>
  <c r="H366" i="27"/>
  <c r="H56" i="62" s="1"/>
  <c r="H365" i="27"/>
  <c r="H55" i="62" s="1"/>
  <c r="H364" i="27"/>
  <c r="H54" i="62" s="1"/>
  <c r="H363" i="27"/>
  <c r="H53" i="62" s="1"/>
  <c r="H362" i="27"/>
  <c r="H52" i="62" s="1"/>
  <c r="H359" i="27"/>
  <c r="H49" i="62" s="1"/>
  <c r="H358" i="27"/>
  <c r="H48" i="62" s="1"/>
  <c r="H163" i="27"/>
  <c r="H47" i="52" s="1"/>
  <c r="K47" i="52" s="1"/>
  <c r="H355" i="27"/>
  <c r="H47" i="62" s="1"/>
  <c r="H353" i="27"/>
  <c r="H45" i="62" s="1"/>
  <c r="H350" i="27"/>
  <c r="H42" i="62" s="1"/>
  <c r="H349" i="27"/>
  <c r="H41" i="62" s="1"/>
  <c r="H348" i="27"/>
  <c r="H40" i="62" s="1"/>
  <c r="H347" i="27"/>
  <c r="H39" i="62" s="1"/>
  <c r="H346" i="27"/>
  <c r="H38" i="62" s="1"/>
  <c r="H343" i="27"/>
  <c r="H35" i="62" s="1"/>
  <c r="H342" i="27"/>
  <c r="H34" i="62" s="1"/>
  <c r="H369" i="27"/>
  <c r="H59" i="62" s="1"/>
  <c r="G61" i="62"/>
  <c r="F61" i="62"/>
  <c r="G60" i="62"/>
  <c r="F60" i="62"/>
  <c r="G59" i="62"/>
  <c r="F59" i="62"/>
  <c r="G56" i="62"/>
  <c r="F56" i="62"/>
  <c r="G55" i="62"/>
  <c r="F55" i="62"/>
  <c r="E61" i="62"/>
  <c r="E60" i="62"/>
  <c r="E59" i="62"/>
  <c r="E56" i="62"/>
  <c r="E55" i="62"/>
  <c r="E54" i="62"/>
  <c r="F54" i="62"/>
  <c r="G54" i="62"/>
  <c r="E53" i="62"/>
  <c r="F53" i="62"/>
  <c r="G53" i="62"/>
  <c r="E52" i="62"/>
  <c r="F52" i="62"/>
  <c r="G52" i="62"/>
  <c r="E49" i="62"/>
  <c r="F49" i="62"/>
  <c r="G49" i="62"/>
  <c r="E48" i="62"/>
  <c r="F48" i="62"/>
  <c r="G48" i="62"/>
  <c r="G47" i="62"/>
  <c r="F47" i="62"/>
  <c r="G46" i="62"/>
  <c r="F46" i="62"/>
  <c r="G45" i="62"/>
  <c r="F45" i="62"/>
  <c r="G42" i="62"/>
  <c r="F42" i="62"/>
  <c r="G41" i="62"/>
  <c r="F41" i="62"/>
  <c r="E47" i="62"/>
  <c r="E46" i="62"/>
  <c r="E45" i="62"/>
  <c r="E42" i="62"/>
  <c r="E41" i="62"/>
  <c r="G40" i="62"/>
  <c r="F40" i="62"/>
  <c r="G39" i="62"/>
  <c r="F39" i="62"/>
  <c r="G38" i="62"/>
  <c r="F38" i="62"/>
  <c r="G35" i="62"/>
  <c r="F35" i="62"/>
  <c r="G34" i="62"/>
  <c r="F34" i="62"/>
  <c r="E37" i="40"/>
  <c r="H296" i="27"/>
  <c r="H38" i="40" s="1"/>
  <c r="G297" i="31"/>
  <c r="F297" i="31"/>
  <c r="G288" i="31"/>
  <c r="F288" i="31"/>
  <c r="G284" i="31"/>
  <c r="F284" i="31"/>
  <c r="G279" i="31"/>
  <c r="F279" i="31"/>
  <c r="G275" i="31"/>
  <c r="F275" i="31"/>
  <c r="G52" i="40"/>
  <c r="F52" i="40"/>
  <c r="G54" i="40"/>
  <c r="G247" i="31"/>
  <c r="F247" i="31"/>
  <c r="E247" i="31"/>
  <c r="G238" i="31"/>
  <c r="F238" i="31"/>
  <c r="E238" i="31"/>
  <c r="G234" i="31"/>
  <c r="F234" i="31"/>
  <c r="E234" i="31"/>
  <c r="G229" i="31"/>
  <c r="F229" i="31"/>
  <c r="E229" i="31"/>
  <c r="G225" i="31"/>
  <c r="F225" i="31"/>
  <c r="E225" i="31"/>
  <c r="G48" i="40"/>
  <c r="F48" i="40"/>
  <c r="G50" i="40"/>
  <c r="E50" i="40"/>
  <c r="G120" i="31"/>
  <c r="F120" i="31"/>
  <c r="G111" i="31"/>
  <c r="F111" i="31"/>
  <c r="G107" i="31"/>
  <c r="F107" i="31"/>
  <c r="G102" i="31"/>
  <c r="F102" i="31"/>
  <c r="G98" i="31"/>
  <c r="F98" i="31"/>
  <c r="G41" i="40"/>
  <c r="F41" i="40"/>
  <c r="G70" i="31"/>
  <c r="F70" i="31"/>
  <c r="E70" i="31"/>
  <c r="G61" i="31"/>
  <c r="F61" i="31"/>
  <c r="E61" i="31"/>
  <c r="G57" i="31"/>
  <c r="F57" i="31"/>
  <c r="E57" i="31"/>
  <c r="G52" i="31"/>
  <c r="F52" i="31"/>
  <c r="E52" i="31"/>
  <c r="G48" i="31"/>
  <c r="F48" i="31"/>
  <c r="E48" i="31"/>
  <c r="G37" i="40"/>
  <c r="F37" i="40"/>
  <c r="G39" i="40"/>
  <c r="E39" i="40"/>
  <c r="H27" i="27"/>
  <c r="H30" i="27"/>
  <c r="H29" i="27"/>
  <c r="H26" i="27"/>
  <c r="H28" i="27"/>
  <c r="G53" i="52"/>
  <c r="F53" i="52"/>
  <c r="E53" i="52"/>
  <c r="G50" i="52"/>
  <c r="F50" i="52"/>
  <c r="E50" i="52"/>
  <c r="G47" i="52"/>
  <c r="F47" i="52"/>
  <c r="E47" i="52"/>
  <c r="G31" i="52"/>
  <c r="G44" i="52"/>
  <c r="F44" i="52"/>
  <c r="H145" i="27"/>
  <c r="H44" i="52" s="1"/>
  <c r="K44" i="52" s="1"/>
  <c r="H181" i="27"/>
  <c r="H50" i="52" s="1"/>
  <c r="K50" i="52" s="1"/>
  <c r="H310" i="27"/>
  <c r="H52" i="40" s="1"/>
  <c r="F33" i="52"/>
  <c r="H300" i="27"/>
  <c r="H41" i="40" s="1"/>
  <c r="G32" i="52"/>
  <c r="H354" i="27"/>
  <c r="H46" i="62" s="1"/>
  <c r="F30" i="52"/>
  <c r="E34" i="62"/>
  <c r="G30" i="52"/>
  <c r="E52" i="40"/>
  <c r="E31" i="52"/>
  <c r="H295" i="27"/>
  <c r="H37" i="40" s="1"/>
  <c r="E48" i="40"/>
  <c r="F32" i="52"/>
  <c r="H305" i="27"/>
  <c r="H48" i="40" s="1"/>
  <c r="E32" i="52"/>
  <c r="E33" i="52"/>
  <c r="E39" i="62"/>
  <c r="E35" i="62"/>
  <c r="E38" i="62"/>
  <c r="E40" i="62"/>
  <c r="G33" i="52"/>
  <c r="F31" i="52"/>
  <c r="E30" i="52"/>
  <c r="H352" i="27"/>
  <c r="H44" i="62" s="1"/>
  <c r="E41" i="40"/>
  <c r="H301" i="27" l="1"/>
  <c r="H42" i="40" s="1"/>
  <c r="H199" i="27"/>
  <c r="H53" i="52" s="1"/>
  <c r="K53" i="52" s="1"/>
  <c r="H42" i="48"/>
  <c r="H14" i="52"/>
  <c r="K14" i="52" s="1"/>
  <c r="H50" i="48"/>
  <c r="H16" i="52"/>
  <c r="K16" i="52" s="1"/>
  <c r="H25" i="27"/>
  <c r="H51" i="48"/>
  <c r="H17" i="52"/>
  <c r="K17" i="52" s="1"/>
  <c r="L44" i="52"/>
  <c r="J44" i="52"/>
  <c r="E44" i="52"/>
  <c r="H18" i="52"/>
  <c r="K18" i="52" s="1"/>
  <c r="H46" i="48"/>
  <c r="G43" i="40"/>
  <c r="H306" i="27"/>
  <c r="H49" i="40" s="1"/>
  <c r="H311" i="27"/>
  <c r="H53" i="40" s="1"/>
  <c r="L50" i="52"/>
  <c r="J50" i="52"/>
  <c r="E14" i="52"/>
  <c r="E42" i="48"/>
  <c r="E50" i="48"/>
  <c r="E16" i="52"/>
  <c r="E17" i="52"/>
  <c r="E51" i="48"/>
  <c r="E18" i="52"/>
  <c r="E46" i="48"/>
  <c r="H47" i="48"/>
  <c r="H19" i="52"/>
  <c r="K19" i="52" s="1"/>
  <c r="E19" i="52"/>
  <c r="E47" i="48"/>
  <c r="L47" i="52"/>
  <c r="J47" i="52"/>
  <c r="E80" i="31"/>
  <c r="E84" i="31"/>
  <c r="E46" i="52"/>
  <c r="G49" i="52"/>
  <c r="G134" i="31"/>
  <c r="G130" i="31"/>
  <c r="E52" i="52"/>
  <c r="E261" i="31"/>
  <c r="E257" i="31"/>
  <c r="G311" i="31"/>
  <c r="G55" i="52"/>
  <c r="G307" i="31"/>
  <c r="E37" i="52"/>
  <c r="E65" i="31"/>
  <c r="E39" i="52"/>
  <c r="E115" i="31"/>
  <c r="E41" i="52"/>
  <c r="E242" i="31"/>
  <c r="E43" i="52"/>
  <c r="E292" i="31"/>
  <c r="L54" i="52"/>
  <c r="J54" i="52"/>
  <c r="H84" i="31"/>
  <c r="H80" i="31"/>
  <c r="H46" i="52"/>
  <c r="K46" i="52" s="1"/>
  <c r="F49" i="52"/>
  <c r="F134" i="31"/>
  <c r="F130" i="31"/>
  <c r="F261" i="31"/>
  <c r="F257" i="31"/>
  <c r="F52" i="52"/>
  <c r="F65" i="31"/>
  <c r="F37" i="52"/>
  <c r="F39" i="52"/>
  <c r="F115" i="31"/>
  <c r="F242" i="31"/>
  <c r="F41" i="52"/>
  <c r="F43" i="52"/>
  <c r="F292" i="31"/>
  <c r="E61" i="52"/>
  <c r="E424" i="31"/>
  <c r="E65" i="52"/>
  <c r="E492" i="31"/>
  <c r="J51" i="52"/>
  <c r="L51" i="52"/>
  <c r="L45" i="52"/>
  <c r="J45" i="52"/>
  <c r="H311" i="31"/>
  <c r="H55" i="52"/>
  <c r="K55" i="52" s="1"/>
  <c r="H307" i="31"/>
  <c r="E49" i="52"/>
  <c r="E134" i="31"/>
  <c r="E130" i="31"/>
  <c r="G257" i="31"/>
  <c r="G52" i="52"/>
  <c r="G261" i="31"/>
  <c r="E55" i="52"/>
  <c r="E311" i="31"/>
  <c r="E307" i="31"/>
  <c r="G65" i="31"/>
  <c r="G37" i="52"/>
  <c r="G39" i="52"/>
  <c r="G115" i="31"/>
  <c r="G41" i="52"/>
  <c r="G242" i="31"/>
  <c r="G292" i="31"/>
  <c r="G43" i="52"/>
  <c r="L48" i="52"/>
  <c r="J48" i="52"/>
  <c r="H134" i="31"/>
  <c r="H49" i="52"/>
  <c r="K49" i="52" s="1"/>
  <c r="H130" i="31"/>
  <c r="H52" i="52"/>
  <c r="K52" i="52" s="1"/>
  <c r="H257" i="31"/>
  <c r="H261" i="31"/>
  <c r="F80" i="31"/>
  <c r="F46" i="52"/>
  <c r="F84" i="31"/>
  <c r="F307" i="31"/>
  <c r="F55" i="52"/>
  <c r="F311" i="31"/>
  <c r="H103" i="27"/>
  <c r="H32" i="52" s="1"/>
  <c r="K32" i="52" s="1"/>
  <c r="H351" i="27"/>
  <c r="H43" i="62" s="1"/>
  <c r="H104" i="27"/>
  <c r="H33" i="52" s="1"/>
  <c r="K33" i="52" s="1"/>
  <c r="H361" i="27"/>
  <c r="H51" i="62" s="1"/>
  <c r="H101" i="27"/>
  <c r="H30" i="52" s="1"/>
  <c r="K30" i="52" s="1"/>
  <c r="H102" i="27"/>
  <c r="H31" i="52" s="1"/>
  <c r="K31" i="52" s="1"/>
  <c r="H344" i="27"/>
  <c r="H36" i="62" s="1"/>
  <c r="H367" i="27"/>
  <c r="H57" i="62" s="1"/>
  <c r="H345" i="27"/>
  <c r="H37" i="62" s="1"/>
  <c r="H368" i="27"/>
  <c r="H58" i="62" s="1"/>
  <c r="H73" i="62" l="1"/>
  <c r="H74" i="62" s="1"/>
  <c r="H147" i="38" s="1"/>
  <c r="K56" i="38" s="1"/>
  <c r="H52" i="48"/>
  <c r="H58" i="48" s="1"/>
  <c r="J32" i="52"/>
  <c r="L32" i="52"/>
  <c r="L52" i="52"/>
  <c r="J52" i="52"/>
  <c r="L55" i="52"/>
  <c r="J55" i="52"/>
  <c r="J46" i="52"/>
  <c r="L46" i="52"/>
  <c r="J19" i="52"/>
  <c r="L19" i="52"/>
  <c r="H48" i="48"/>
  <c r="H43" i="48"/>
  <c r="H44" i="48" s="1"/>
  <c r="H54" i="48" s="1"/>
  <c r="H15" i="52"/>
  <c r="K15" i="52" s="1"/>
  <c r="L14" i="52"/>
  <c r="J14" i="52"/>
  <c r="L30" i="52"/>
  <c r="J30" i="52"/>
  <c r="L33" i="52"/>
  <c r="J33" i="52"/>
  <c r="H79" i="27"/>
  <c r="H77" i="27"/>
  <c r="H78" i="27"/>
  <c r="H80" i="27"/>
  <c r="G80" i="31"/>
  <c r="G46" i="52"/>
  <c r="G84" i="31"/>
  <c r="J18" i="52"/>
  <c r="L18" i="52"/>
  <c r="H360" i="27"/>
  <c r="H50" i="62" s="1"/>
  <c r="L31" i="52"/>
  <c r="J31" i="52"/>
  <c r="L49" i="52"/>
  <c r="J49" i="52"/>
  <c r="E488" i="31"/>
  <c r="E63" i="52"/>
  <c r="E420" i="31"/>
  <c r="E59" i="52"/>
  <c r="E15" i="52"/>
  <c r="E43" i="48"/>
  <c r="J17" i="52"/>
  <c r="L17" i="52"/>
  <c r="J16" i="52"/>
  <c r="L16" i="52"/>
  <c r="L53" i="52"/>
  <c r="J53" i="52"/>
  <c r="H62" i="62" l="1"/>
  <c r="H65" i="62" s="1"/>
  <c r="H66" i="62" s="1"/>
  <c r="H78" i="62"/>
  <c r="H79" i="62" s="1"/>
  <c r="H158" i="38" s="1"/>
  <c r="K100" i="38"/>
  <c r="H121" i="48"/>
  <c r="H23" i="52"/>
  <c r="K23" i="52" s="1"/>
  <c r="H91" i="48"/>
  <c r="H20" i="52"/>
  <c r="K20" i="52" s="1"/>
  <c r="L15" i="52"/>
  <c r="J15" i="52"/>
  <c r="H21" i="52"/>
  <c r="K21" i="52" s="1"/>
  <c r="H93" i="48"/>
  <c r="H22" i="52"/>
  <c r="K22" i="52" s="1"/>
  <c r="H119" i="48"/>
  <c r="H55" i="48"/>
  <c r="H56" i="48" s="1"/>
  <c r="H98" i="48" s="1"/>
  <c r="H173" i="38" s="1"/>
  <c r="H59" i="48"/>
  <c r="H60" i="48" s="1"/>
  <c r="H127" i="48" s="1"/>
  <c r="H177" i="38" s="1"/>
  <c r="H56" i="38" l="1"/>
  <c r="H136" i="38" s="1"/>
  <c r="H169" i="38" s="1"/>
  <c r="H81" i="62"/>
  <c r="L56" i="38"/>
  <c r="H128" i="48"/>
  <c r="H136" i="48" s="1"/>
  <c r="H99" i="48"/>
  <c r="H105" i="48" s="1"/>
  <c r="J23" i="52"/>
  <c r="L23" i="52"/>
  <c r="J22" i="52"/>
  <c r="L22" i="52"/>
  <c r="L20" i="52"/>
  <c r="J20" i="52"/>
  <c r="L21" i="52"/>
  <c r="J21" i="52"/>
  <c r="H97" i="52" l="1"/>
  <c r="K97" i="52" s="1"/>
  <c r="L97" i="52" s="1"/>
  <c r="H100" i="38"/>
  <c r="L100" i="38"/>
  <c r="M100" i="38" s="1"/>
  <c r="M56" i="38"/>
  <c r="N56" i="38" s="1"/>
  <c r="J97" i="52" l="1"/>
  <c r="N100" i="38"/>
  <c r="H82" i="52"/>
  <c r="K82" i="52" s="1"/>
  <c r="J228" i="27"/>
  <c r="H220" i="27"/>
  <c r="H78" i="52" s="1"/>
  <c r="K78" i="52" s="1"/>
  <c r="H84" i="52"/>
  <c r="K84" i="52" s="1"/>
  <c r="H80" i="52"/>
  <c r="K80" i="52" s="1"/>
  <c r="H228" i="27" l="1"/>
  <c r="H85" i="52"/>
  <c r="K85" i="52" s="1"/>
  <c r="L80" i="52"/>
  <c r="J80" i="52"/>
  <c r="L84" i="52"/>
  <c r="J84" i="52"/>
  <c r="J82" i="52"/>
  <c r="L82" i="52"/>
  <c r="H308" i="27"/>
  <c r="H50" i="40" s="1"/>
  <c r="H313" i="27"/>
  <c r="H54" i="40" s="1"/>
  <c r="H81" i="52"/>
  <c r="K81" i="52" s="1"/>
  <c r="H83" i="52"/>
  <c r="K83" i="52" s="1"/>
  <c r="J78" i="52"/>
  <c r="L78" i="52"/>
  <c r="J232" i="27"/>
  <c r="H224" i="27"/>
  <c r="H79" i="52" s="1"/>
  <c r="K79" i="52" s="1"/>
  <c r="H303" i="27"/>
  <c r="H43" i="40" s="1"/>
  <c r="H298" i="27"/>
  <c r="H39" i="40" s="1"/>
  <c r="H232" i="27" l="1"/>
  <c r="L79" i="52"/>
  <c r="J79" i="52"/>
  <c r="L83" i="52"/>
  <c r="J83" i="52"/>
  <c r="J85" i="52"/>
  <c r="L85" i="52"/>
  <c r="J81" i="52"/>
  <c r="L81" i="52"/>
  <c r="H93" i="27"/>
  <c r="H94" i="27"/>
  <c r="H28" i="52" l="1"/>
  <c r="K28" i="52" s="1"/>
  <c r="H84" i="56"/>
  <c r="H85" i="56" s="1"/>
  <c r="H99" i="56" s="1"/>
  <c r="H27" i="52"/>
  <c r="K27" i="52" s="1"/>
  <c r="H31" i="56"/>
  <c r="H32" i="56" s="1"/>
  <c r="H39" i="56" s="1"/>
  <c r="H92" i="27"/>
  <c r="H97" i="27"/>
  <c r="H35" i="56" s="1"/>
  <c r="H36" i="56" s="1"/>
  <c r="H43" i="56" s="1"/>
  <c r="H23" i="56" l="1"/>
  <c r="H24" i="56" s="1"/>
  <c r="H38" i="56" s="1"/>
  <c r="H40" i="56" s="1"/>
  <c r="H52" i="56" s="1"/>
  <c r="H26" i="52"/>
  <c r="K26" i="52" s="1"/>
  <c r="L28" i="52"/>
  <c r="J28" i="52"/>
  <c r="J27" i="52"/>
  <c r="L27" i="52"/>
  <c r="H98" i="27"/>
  <c r="H88" i="56" s="1"/>
  <c r="H89" i="56" s="1"/>
  <c r="H95" i="27"/>
  <c r="L26" i="52" l="1"/>
  <c r="J26" i="52"/>
  <c r="H92" i="56"/>
  <c r="H93" i="56" s="1"/>
  <c r="H100" i="56" s="1"/>
  <c r="H101" i="56" s="1"/>
  <c r="H115" i="56" s="1"/>
  <c r="H29" i="52"/>
  <c r="K29" i="52" s="1"/>
  <c r="H103" i="56"/>
  <c r="H161" i="27"/>
  <c r="H99" i="27"/>
  <c r="H96" i="56" s="1"/>
  <c r="H97" i="56" s="1"/>
  <c r="H104" i="56" s="1"/>
  <c r="H96" i="27"/>
  <c r="H27" i="56" s="1"/>
  <c r="H28" i="56" s="1"/>
  <c r="H42" i="56" s="1"/>
  <c r="H44" i="56" s="1"/>
  <c r="H105" i="56" l="1"/>
  <c r="H155" i="56" s="1"/>
  <c r="H53" i="56"/>
  <c r="H148" i="56"/>
  <c r="H48" i="56"/>
  <c r="H49" i="56" s="1"/>
  <c r="H66" i="56" s="1"/>
  <c r="H115" i="31"/>
  <c r="H116" i="31" s="1"/>
  <c r="H39" i="52"/>
  <c r="K39" i="52" s="1"/>
  <c r="L29" i="52"/>
  <c r="J29" i="52"/>
  <c r="H179" i="27"/>
  <c r="H54" i="56" l="1"/>
  <c r="H57" i="56" s="1"/>
  <c r="H58" i="56" s="1"/>
  <c r="H62" i="56" s="1"/>
  <c r="H63" i="56" s="1"/>
  <c r="H116" i="56"/>
  <c r="H110" i="56"/>
  <c r="H111" i="56" s="1"/>
  <c r="H132" i="56" s="1"/>
  <c r="H143" i="27"/>
  <c r="H126" i="31"/>
  <c r="H127" i="31" s="1"/>
  <c r="H197" i="27"/>
  <c r="H242" i="31"/>
  <c r="H243" i="31" s="1"/>
  <c r="H253" i="31" s="1"/>
  <c r="H254" i="31" s="1"/>
  <c r="H41" i="52"/>
  <c r="K41" i="52" s="1"/>
  <c r="J39" i="52"/>
  <c r="L39" i="52"/>
  <c r="H117" i="56" l="1"/>
  <c r="H121" i="56" s="1"/>
  <c r="H122" i="56" s="1"/>
  <c r="H127" i="56" s="1"/>
  <c r="H128" i="56" s="1"/>
  <c r="H67" i="56"/>
  <c r="H68" i="56" s="1"/>
  <c r="H142" i="56" s="1"/>
  <c r="H138" i="56"/>
  <c r="H129" i="31"/>
  <c r="H131" i="31" s="1"/>
  <c r="H141" i="31" s="1"/>
  <c r="H137" i="31"/>
  <c r="H264" i="31"/>
  <c r="H256" i="31"/>
  <c r="H258" i="31" s="1"/>
  <c r="H268" i="31" s="1"/>
  <c r="H43" i="52"/>
  <c r="K43" i="52" s="1"/>
  <c r="H292" i="31"/>
  <c r="H293" i="31" s="1"/>
  <c r="H303" i="31" s="1"/>
  <c r="H304" i="31" s="1"/>
  <c r="H37" i="52"/>
  <c r="K37" i="52" s="1"/>
  <c r="H65" i="31"/>
  <c r="H66" i="31" s="1"/>
  <c r="H76" i="31" s="1"/>
  <c r="H77" i="31" s="1"/>
  <c r="H79" i="31" s="1"/>
  <c r="L41" i="52"/>
  <c r="J41" i="52"/>
  <c r="H149" i="56" l="1"/>
  <c r="H140" i="38"/>
  <c r="H150" i="56"/>
  <c r="H141" i="38"/>
  <c r="K50" i="38" s="1"/>
  <c r="K66" i="38" s="1"/>
  <c r="H139" i="56"/>
  <c r="H151" i="38" s="1"/>
  <c r="H133" i="56"/>
  <c r="H134" i="56" s="1"/>
  <c r="H143" i="56" s="1"/>
  <c r="H87" i="31"/>
  <c r="H81" i="31"/>
  <c r="H306" i="31"/>
  <c r="H308" i="31" s="1"/>
  <c r="H318" i="31" s="1"/>
  <c r="H314" i="31"/>
  <c r="J37" i="52"/>
  <c r="L37" i="52"/>
  <c r="J43" i="52"/>
  <c r="L43" i="52"/>
  <c r="H151" i="56" l="1"/>
  <c r="F22" i="36" s="1"/>
  <c r="K49" i="38"/>
  <c r="H157" i="56"/>
  <c r="H152" i="38"/>
  <c r="L49" i="38"/>
  <c r="H144" i="56"/>
  <c r="H50" i="38" s="1"/>
  <c r="H156" i="56"/>
  <c r="H140" i="56"/>
  <c r="H49" i="38" s="1"/>
  <c r="H129" i="38" s="1"/>
  <c r="H162" i="38" s="1"/>
  <c r="H91" i="31"/>
  <c r="H158" i="56" l="1"/>
  <c r="F23" i="36" s="1"/>
  <c r="K61" i="38"/>
  <c r="L50" i="38"/>
  <c r="L61" i="38"/>
  <c r="M49" i="38"/>
  <c r="H66" i="38"/>
  <c r="H130" i="38"/>
  <c r="H163" i="38" s="1"/>
  <c r="H91" i="52"/>
  <c r="K91" i="52" s="1"/>
  <c r="J91" i="52" s="1"/>
  <c r="H61" i="38"/>
  <c r="H90" i="52"/>
  <c r="K90" i="52" s="1"/>
  <c r="H486" i="31"/>
  <c r="H231" i="27"/>
  <c r="H418" i="31" s="1"/>
  <c r="H490" i="31"/>
  <c r="H422" i="31"/>
  <c r="M61" i="38" l="1"/>
  <c r="N61" i="38" s="1"/>
  <c r="N49" i="38"/>
  <c r="L66" i="38"/>
  <c r="M66" i="38" s="1"/>
  <c r="N66" i="38" s="1"/>
  <c r="M50" i="38"/>
  <c r="N50" i="38" s="1"/>
  <c r="L91" i="52"/>
  <c r="L90" i="52"/>
  <c r="J90" i="52"/>
  <c r="H433" i="31"/>
  <c r="H501" i="31"/>
  <c r="H497" i="31"/>
  <c r="H233" i="27"/>
  <c r="H429" i="31" s="1"/>
  <c r="H150" i="27" l="1"/>
  <c r="H168" i="27"/>
  <c r="H132" i="27"/>
  <c r="H186" i="27"/>
  <c r="H274" i="31" l="1"/>
  <c r="H42" i="52"/>
  <c r="K42" i="52" s="1"/>
  <c r="H36" i="52"/>
  <c r="K36" i="52" s="1"/>
  <c r="H47" i="31"/>
  <c r="H97" i="31"/>
  <c r="H38" i="52"/>
  <c r="K38" i="52" s="1"/>
  <c r="H40" i="52"/>
  <c r="K40" i="52" s="1"/>
  <c r="H224" i="31"/>
  <c r="L40" i="52" l="1"/>
  <c r="J40" i="52"/>
  <c r="L36" i="52"/>
  <c r="J36" i="52"/>
  <c r="J38" i="52"/>
  <c r="L38" i="52"/>
  <c r="L42" i="52"/>
  <c r="J42" i="52"/>
  <c r="H169" i="27"/>
  <c r="H225" i="31" s="1"/>
  <c r="H226" i="31" s="1"/>
  <c r="H323" i="31" s="1"/>
  <c r="H133" i="27"/>
  <c r="H48" i="31" s="1"/>
  <c r="H49" i="31" s="1"/>
  <c r="H146" i="31" s="1"/>
  <c r="H151" i="27"/>
  <c r="H98" i="31" s="1"/>
  <c r="H99" i="31" s="1"/>
  <c r="H149" i="31" s="1"/>
  <c r="H187" i="27"/>
  <c r="H275" i="31" s="1"/>
  <c r="H276" i="31" s="1"/>
  <c r="H326" i="31" s="1"/>
  <c r="H171" i="27" l="1"/>
  <c r="H233" i="31" s="1"/>
  <c r="H135" i="27"/>
  <c r="H56" i="31" s="1"/>
  <c r="H189" i="27"/>
  <c r="H283" i="31" s="1"/>
  <c r="H153" i="27"/>
  <c r="H106" i="31" s="1"/>
  <c r="H188" i="27" l="1"/>
  <c r="H279" i="31" s="1"/>
  <c r="H280" i="31" s="1"/>
  <c r="H334" i="31" s="1"/>
  <c r="H170" i="27"/>
  <c r="H229" i="31" s="1"/>
  <c r="H230" i="31" s="1"/>
  <c r="H331" i="31" s="1"/>
  <c r="H152" i="27"/>
  <c r="H102" i="31" s="1"/>
  <c r="H103" i="31" s="1"/>
  <c r="H157" i="31" s="1"/>
  <c r="H134" i="27"/>
  <c r="H52" i="31" s="1"/>
  <c r="H53" i="31" s="1"/>
  <c r="H154" i="31" s="1"/>
  <c r="H219" i="27"/>
  <c r="H60" i="52" l="1"/>
  <c r="K60" i="52" s="1"/>
  <c r="H421" i="31"/>
  <c r="H489" i="31"/>
  <c r="H64" i="52"/>
  <c r="K64" i="52" s="1"/>
  <c r="H62" i="52"/>
  <c r="K62" i="52" s="1"/>
  <c r="H485" i="31"/>
  <c r="H417" i="31"/>
  <c r="H58" i="52"/>
  <c r="K58" i="52" s="1"/>
  <c r="H172" i="27"/>
  <c r="H234" i="31" s="1"/>
  <c r="H235" i="31" s="1"/>
  <c r="H324" i="31" s="1"/>
  <c r="H221" i="27"/>
  <c r="H154" i="27"/>
  <c r="H107" i="31" s="1"/>
  <c r="H108" i="31" s="1"/>
  <c r="H150" i="31" s="1"/>
  <c r="H136" i="27"/>
  <c r="H57" i="31" s="1"/>
  <c r="H58" i="31" s="1"/>
  <c r="H147" i="31" s="1"/>
  <c r="H190" i="27"/>
  <c r="H284" i="31" s="1"/>
  <c r="H285" i="31" s="1"/>
  <c r="H327" i="31" s="1"/>
  <c r="H72" i="52" l="1"/>
  <c r="K72" i="52" s="1"/>
  <c r="H496" i="31"/>
  <c r="H66" i="52"/>
  <c r="K66" i="52" s="1"/>
  <c r="H428" i="31"/>
  <c r="J58" i="52"/>
  <c r="L58" i="52"/>
  <c r="L64" i="52"/>
  <c r="J64" i="52"/>
  <c r="H500" i="31"/>
  <c r="H75" i="52"/>
  <c r="K75" i="52" s="1"/>
  <c r="H69" i="52"/>
  <c r="K69" i="52" s="1"/>
  <c r="H432" i="31"/>
  <c r="L62" i="52"/>
  <c r="J62" i="52"/>
  <c r="J60" i="52"/>
  <c r="L60" i="52"/>
  <c r="H173" i="27"/>
  <c r="H238" i="31" s="1"/>
  <c r="H239" i="31" s="1"/>
  <c r="H332" i="31" s="1"/>
  <c r="H137" i="27"/>
  <c r="H61" i="31" s="1"/>
  <c r="H62" i="31" s="1"/>
  <c r="H155" i="31" s="1"/>
  <c r="H191" i="27" l="1"/>
  <c r="H288" i="31" s="1"/>
  <c r="H289" i="31" s="1"/>
  <c r="H335" i="31" s="1"/>
  <c r="J75" i="52"/>
  <c r="L75" i="52"/>
  <c r="L66" i="52"/>
  <c r="J66" i="52"/>
  <c r="H155" i="27"/>
  <c r="H111" i="31" s="1"/>
  <c r="H112" i="31" s="1"/>
  <c r="H158" i="31" s="1"/>
  <c r="L69" i="52"/>
  <c r="J69" i="52"/>
  <c r="J72" i="52"/>
  <c r="L72" i="52"/>
  <c r="H423" i="31"/>
  <c r="H223" i="27"/>
  <c r="H419" i="31" s="1"/>
  <c r="H487" i="31"/>
  <c r="H491" i="31"/>
  <c r="H225" i="27" l="1"/>
  <c r="H73" i="52" l="1"/>
  <c r="K73" i="52" s="1"/>
  <c r="H498" i="31"/>
  <c r="H502" i="31"/>
  <c r="H76" i="52"/>
  <c r="K76" i="52" s="1"/>
  <c r="H67" i="52"/>
  <c r="K67" i="52" s="1"/>
  <c r="H430" i="31"/>
  <c r="H70" i="52"/>
  <c r="K70" i="52" s="1"/>
  <c r="H434" i="31"/>
  <c r="L76" i="52" l="1"/>
  <c r="J76" i="52"/>
  <c r="L70" i="52"/>
  <c r="J70" i="52"/>
  <c r="L67" i="52"/>
  <c r="J67" i="52"/>
  <c r="J73" i="52"/>
  <c r="L73" i="52"/>
  <c r="H177" i="27" l="1"/>
  <c r="H246" i="31" s="1"/>
  <c r="H195" i="27"/>
  <c r="H296" i="31" s="1"/>
  <c r="H159" i="27"/>
  <c r="H119" i="31" s="1"/>
  <c r="H141" i="27"/>
  <c r="H69" i="31" s="1"/>
  <c r="H142" i="27" l="1"/>
  <c r="H70" i="31" s="1"/>
  <c r="H71" i="31" l="1"/>
  <c r="H83" i="31" s="1"/>
  <c r="H85" i="31" s="1"/>
  <c r="H92" i="31" s="1"/>
  <c r="H93" i="31" s="1"/>
  <c r="H156" i="31" s="1"/>
  <c r="H196" i="27"/>
  <c r="H297" i="31" s="1"/>
  <c r="H178" i="27"/>
  <c r="H247" i="31" s="1"/>
  <c r="H248" i="31" s="1"/>
  <c r="H160" i="27"/>
  <c r="H120" i="31" s="1"/>
  <c r="H121" i="31" s="1"/>
  <c r="H298" i="31" l="1"/>
  <c r="H310" i="31" s="1"/>
  <c r="H88" i="31"/>
  <c r="H89" i="31" s="1"/>
  <c r="H148" i="31" s="1"/>
  <c r="H133" i="31"/>
  <c r="H135" i="31" s="1"/>
  <c r="H142" i="31" s="1"/>
  <c r="H143" i="31" s="1"/>
  <c r="H159" i="31" s="1"/>
  <c r="H160" i="31" s="1"/>
  <c r="H260" i="31"/>
  <c r="H262" i="31" s="1"/>
  <c r="H269" i="31" s="1"/>
  <c r="H270" i="31" s="1"/>
  <c r="H333" i="31" s="1"/>
  <c r="H227" i="27"/>
  <c r="H315" i="31" l="1"/>
  <c r="H316" i="31" s="1"/>
  <c r="H328" i="31" s="1"/>
  <c r="H312" i="31"/>
  <c r="H319" i="31" s="1"/>
  <c r="H320" i="31" s="1"/>
  <c r="H336" i="31" s="1"/>
  <c r="H337" i="31" s="1"/>
  <c r="H386" i="31" s="1"/>
  <c r="H138" i="31"/>
  <c r="H139" i="31" s="1"/>
  <c r="H151" i="31" s="1"/>
  <c r="H152" i="31" s="1"/>
  <c r="H168" i="31" s="1"/>
  <c r="H65" i="52"/>
  <c r="K65" i="52" s="1"/>
  <c r="H492" i="31"/>
  <c r="H61" i="52"/>
  <c r="K61" i="52" s="1"/>
  <c r="H424" i="31"/>
  <c r="H379" i="31"/>
  <c r="H164" i="31"/>
  <c r="H165" i="31" s="1"/>
  <c r="H182" i="31" s="1"/>
  <c r="H169" i="31"/>
  <c r="H63" i="52"/>
  <c r="K63" i="52" s="1"/>
  <c r="H488" i="31"/>
  <c r="H420" i="31"/>
  <c r="H59" i="52"/>
  <c r="K59" i="52" s="1"/>
  <c r="H265" i="31"/>
  <c r="H266" i="31" s="1"/>
  <c r="H325" i="31" s="1"/>
  <c r="H229" i="27"/>
  <c r="H329" i="31" l="1"/>
  <c r="H347" i="31" s="1"/>
  <c r="H170" i="31"/>
  <c r="H173" i="31" s="1"/>
  <c r="H174" i="31" s="1"/>
  <c r="H178" i="31" s="1"/>
  <c r="H179" i="31" s="1"/>
  <c r="H348" i="31"/>
  <c r="H342" i="31"/>
  <c r="H343" i="31" s="1"/>
  <c r="H364" i="31" s="1"/>
  <c r="H493" i="31"/>
  <c r="H514" i="31" s="1"/>
  <c r="H503" i="31"/>
  <c r="H77" i="52"/>
  <c r="K77" i="52" s="1"/>
  <c r="J61" i="52"/>
  <c r="L61" i="52"/>
  <c r="H431" i="31"/>
  <c r="H68" i="52"/>
  <c r="K68" i="52" s="1"/>
  <c r="L59" i="52"/>
  <c r="J59" i="52"/>
  <c r="J63" i="52"/>
  <c r="L63" i="52"/>
  <c r="H71" i="52"/>
  <c r="K71" i="52" s="1"/>
  <c r="H435" i="31"/>
  <c r="H499" i="31"/>
  <c r="H74" i="52"/>
  <c r="K74" i="52" s="1"/>
  <c r="H425" i="31"/>
  <c r="H444" i="31" s="1"/>
  <c r="J65" i="52"/>
  <c r="L65" i="52"/>
  <c r="H349" i="31" l="1"/>
  <c r="H353" i="31" s="1"/>
  <c r="H354" i="31" s="1"/>
  <c r="H359" i="31" s="1"/>
  <c r="H360" i="31" s="1"/>
  <c r="H183" i="31"/>
  <c r="H184" i="31" s="1"/>
  <c r="H374" i="31" s="1"/>
  <c r="H370" i="31"/>
  <c r="H436" i="31"/>
  <c r="H445" i="31" s="1"/>
  <c r="L71" i="52"/>
  <c r="J71" i="52"/>
  <c r="J77" i="52"/>
  <c r="L77" i="52"/>
  <c r="L74" i="52"/>
  <c r="J74" i="52"/>
  <c r="J68" i="52"/>
  <c r="L68" i="52"/>
  <c r="H504" i="31"/>
  <c r="H382" i="31" l="1"/>
  <c r="H143" i="38"/>
  <c r="H381" i="31"/>
  <c r="H142" i="38"/>
  <c r="H446" i="31"/>
  <c r="H449" i="31" s="1"/>
  <c r="H450" i="31" s="1"/>
  <c r="H454" i="31" s="1"/>
  <c r="H455" i="31" s="1"/>
  <c r="H365" i="31"/>
  <c r="H366" i="31" s="1"/>
  <c r="H375" i="31" s="1"/>
  <c r="H371" i="31"/>
  <c r="H545" i="31"/>
  <c r="H440" i="31"/>
  <c r="H441" i="31" s="1"/>
  <c r="H458" i="31" s="1"/>
  <c r="H552" i="31"/>
  <c r="H509" i="31"/>
  <c r="H510" i="31" s="1"/>
  <c r="H531" i="31" s="1"/>
  <c r="H515" i="31"/>
  <c r="H383" i="31" l="1"/>
  <c r="F17" i="36" s="1"/>
  <c r="K51" i="38"/>
  <c r="K52" i="38"/>
  <c r="K76" i="38" s="1"/>
  <c r="H389" i="31"/>
  <c r="H154" i="38"/>
  <c r="H388" i="31"/>
  <c r="H390" i="31" s="1"/>
  <c r="F18" i="36" s="1"/>
  <c r="H153" i="38"/>
  <c r="H376" i="31"/>
  <c r="H52" i="38" s="1"/>
  <c r="H516" i="31"/>
  <c r="H520" i="31" s="1"/>
  <c r="H521" i="31" s="1"/>
  <c r="H526" i="31" s="1"/>
  <c r="H527" i="31" s="1"/>
  <c r="H536" i="31"/>
  <c r="H459" i="31"/>
  <c r="H460" i="31" s="1"/>
  <c r="H540" i="31" s="1"/>
  <c r="H372" i="31"/>
  <c r="H51" i="38" s="1"/>
  <c r="H547" i="31" l="1"/>
  <c r="H144" i="38"/>
  <c r="H548" i="31"/>
  <c r="H145" i="38"/>
  <c r="K71" i="38"/>
  <c r="L51" i="38"/>
  <c r="L52" i="38"/>
  <c r="H71" i="38"/>
  <c r="H131" i="38"/>
  <c r="H164" i="38" s="1"/>
  <c r="H76" i="38"/>
  <c r="H132" i="38"/>
  <c r="H165" i="38" s="1"/>
  <c r="H93" i="52"/>
  <c r="K93" i="52" s="1"/>
  <c r="L93" i="52" s="1"/>
  <c r="H92" i="52"/>
  <c r="K92" i="52" s="1"/>
  <c r="J92" i="52" s="1"/>
  <c r="H537" i="31"/>
  <c r="H532" i="31"/>
  <c r="H533" i="31" s="1"/>
  <c r="H541" i="31" s="1"/>
  <c r="H59" i="27"/>
  <c r="H75" i="48" s="1"/>
  <c r="H76" i="48" s="1"/>
  <c r="H58" i="27"/>
  <c r="H71" i="48" s="1"/>
  <c r="H72" i="48" s="1"/>
  <c r="H56" i="27"/>
  <c r="H63" i="48" s="1"/>
  <c r="H64" i="48" s="1"/>
  <c r="H57" i="27"/>
  <c r="H67" i="48" s="1"/>
  <c r="H68" i="48" s="1"/>
  <c r="H549" i="31" l="1"/>
  <c r="F19" i="36" s="1"/>
  <c r="K54" i="38"/>
  <c r="K86" i="38" s="1"/>
  <c r="K53" i="38"/>
  <c r="H554" i="31"/>
  <c r="H155" i="38"/>
  <c r="H555" i="31"/>
  <c r="H156" i="38"/>
  <c r="L76" i="38"/>
  <c r="M76" i="38" s="1"/>
  <c r="N76" i="38" s="1"/>
  <c r="M52" i="38"/>
  <c r="N52" i="38" s="1"/>
  <c r="L71" i="38"/>
  <c r="M71" i="38" s="1"/>
  <c r="N71" i="38" s="1"/>
  <c r="M51" i="38"/>
  <c r="J93" i="52"/>
  <c r="H538" i="31"/>
  <c r="H53" i="38" s="1"/>
  <c r="H542" i="31"/>
  <c r="H54" i="38" s="1"/>
  <c r="L92" i="52"/>
  <c r="H118" i="48"/>
  <c r="H82" i="48"/>
  <c r="H92" i="48"/>
  <c r="H79" i="48"/>
  <c r="H90" i="48"/>
  <c r="H78" i="48"/>
  <c r="H22" i="40"/>
  <c r="H59" i="40" s="1"/>
  <c r="H120" i="48"/>
  <c r="H83" i="48"/>
  <c r="H556" i="31" l="1"/>
  <c r="F20" i="36" s="1"/>
  <c r="K81" i="38"/>
  <c r="L54" i="38"/>
  <c r="L53" i="38"/>
  <c r="N51" i="38"/>
  <c r="H95" i="52"/>
  <c r="K95" i="52" s="1"/>
  <c r="L95" i="52" s="1"/>
  <c r="H134" i="38"/>
  <c r="H167" i="38" s="1"/>
  <c r="H81" i="38"/>
  <c r="H133" i="38"/>
  <c r="H166" i="38" s="1"/>
  <c r="H94" i="52"/>
  <c r="K94" i="52" s="1"/>
  <c r="L94" i="52" s="1"/>
  <c r="H86" i="38"/>
  <c r="H84" i="48"/>
  <c r="H117" i="48" s="1"/>
  <c r="H80" i="48"/>
  <c r="H89" i="48" s="1"/>
  <c r="J95" i="52" l="1"/>
  <c r="L81" i="38"/>
  <c r="M81" i="38" s="1"/>
  <c r="N81" i="38" s="1"/>
  <c r="M53" i="38"/>
  <c r="L86" i="38"/>
  <c r="M86" i="38" s="1"/>
  <c r="N86" i="38" s="1"/>
  <c r="M54" i="38"/>
  <c r="N54" i="38" s="1"/>
  <c r="J94" i="52"/>
  <c r="H122" i="48"/>
  <c r="H132" i="48" s="1"/>
  <c r="H176" i="38" s="1"/>
  <c r="H178" i="38" s="1"/>
  <c r="H94" i="48"/>
  <c r="H102" i="48" s="1"/>
  <c r="H172" i="38" s="1"/>
  <c r="H174" i="38" s="1"/>
  <c r="H182" i="38" l="1"/>
  <c r="H188" i="38"/>
  <c r="H181" i="38"/>
  <c r="H184" i="38"/>
  <c r="H183" i="38"/>
  <c r="H186" i="38"/>
  <c r="H185" i="38"/>
  <c r="H199" i="38"/>
  <c r="H192" i="38"/>
  <c r="H193" i="38"/>
  <c r="H195" i="38"/>
  <c r="H194" i="38"/>
  <c r="H196" i="38"/>
  <c r="H197" i="38"/>
  <c r="H208" i="38" s="1"/>
  <c r="H87" i="38" s="1"/>
  <c r="N53" i="38"/>
  <c r="H133" i="48"/>
  <c r="H137" i="48" s="1"/>
  <c r="H103" i="48"/>
  <c r="H106" i="48" s="1"/>
  <c r="H205" i="38" l="1"/>
  <c r="H72" i="38" s="1"/>
  <c r="H210" i="38"/>
  <c r="H101" i="38" s="1"/>
  <c r="H206" i="38"/>
  <c r="H77" i="38" s="1"/>
  <c r="H207" i="38"/>
  <c r="H82" i="38" s="1"/>
  <c r="H203" i="38"/>
  <c r="H204" i="38"/>
  <c r="H67" i="38" s="1"/>
  <c r="H138" i="48"/>
  <c r="H141" i="48" s="1"/>
  <c r="H107" i="48"/>
  <c r="H110" i="48" s="1"/>
  <c r="H111" i="48" s="1"/>
  <c r="H145" i="48" s="1"/>
  <c r="H142" i="48" l="1"/>
  <c r="H146" i="48" s="1"/>
  <c r="H147" i="48" s="1"/>
  <c r="G23" i="30" s="1"/>
  <c r="H160" i="48"/>
  <c r="H62" i="38"/>
  <c r="H297" i="27"/>
  <c r="H36" i="40" s="1"/>
  <c r="H162" i="48" l="1"/>
  <c r="H163" i="48"/>
  <c r="H41" i="38"/>
  <c r="H88" i="52" s="1"/>
  <c r="K88" i="52" s="1"/>
  <c r="H302" i="27"/>
  <c r="H40" i="40" s="1"/>
  <c r="H44" i="40" s="1"/>
  <c r="H164" i="48" l="1"/>
  <c r="H165" i="48" s="1"/>
  <c r="H398" i="27"/>
  <c r="H399" i="27" s="1"/>
  <c r="H41" i="27" s="1"/>
  <c r="H35" i="38" s="1"/>
  <c r="H107" i="52"/>
  <c r="K107" i="52" s="1"/>
  <c r="L107" i="52" s="1"/>
  <c r="L88" i="52"/>
  <c r="J88" i="52"/>
  <c r="H42" i="27"/>
  <c r="H36" i="38" s="1"/>
  <c r="H37" i="38" s="1"/>
  <c r="H44" i="38" s="1"/>
  <c r="H57" i="40"/>
  <c r="H71" i="40" s="1"/>
  <c r="H72" i="40" s="1"/>
  <c r="H312" i="27"/>
  <c r="H51" i="40" s="1"/>
  <c r="H307" i="27"/>
  <c r="H47" i="40" s="1"/>
  <c r="H146" i="38" l="1"/>
  <c r="J107" i="52"/>
  <c r="H107" i="38"/>
  <c r="H108" i="38" s="1"/>
  <c r="H55" i="40"/>
  <c r="H58" i="40" s="1"/>
  <c r="K55" i="38" l="1"/>
  <c r="H187" i="38"/>
  <c r="H189" i="38" s="1"/>
  <c r="K45" i="38" s="1"/>
  <c r="H148" i="38"/>
  <c r="H60" i="40"/>
  <c r="H63" i="40" s="1"/>
  <c r="H64" i="40" s="1"/>
  <c r="H76" i="40"/>
  <c r="H77" i="40" s="1"/>
  <c r="H157" i="38" s="1"/>
  <c r="G21" i="30"/>
  <c r="H98" i="52"/>
  <c r="K98" i="52" s="1"/>
  <c r="H55" i="38" l="1"/>
  <c r="H79" i="40"/>
  <c r="K98" i="38"/>
  <c r="K64" i="38"/>
  <c r="K69" i="38"/>
  <c r="K93" i="38"/>
  <c r="K74" i="38"/>
  <c r="K59" i="38"/>
  <c r="K79" i="38"/>
  <c r="K84" i="38"/>
  <c r="L55" i="38"/>
  <c r="H198" i="38"/>
  <c r="H159" i="38"/>
  <c r="K95" i="38"/>
  <c r="M55" i="38"/>
  <c r="K57" i="38"/>
  <c r="L98" i="52"/>
  <c r="J98" i="52"/>
  <c r="N55" i="38" l="1"/>
  <c r="N57" i="38" s="1"/>
  <c r="M57" i="38"/>
  <c r="L95" i="38"/>
  <c r="M95" i="38" s="1"/>
  <c r="L57" i="38"/>
  <c r="K99" i="38"/>
  <c r="K101" i="38" s="1"/>
  <c r="K75" i="38"/>
  <c r="K77" i="38" s="1"/>
  <c r="K94" i="38"/>
  <c r="K96" i="38" s="1"/>
  <c r="K70" i="38"/>
  <c r="K85" i="38"/>
  <c r="K87" i="38" s="1"/>
  <c r="K65" i="38"/>
  <c r="K67" i="38" s="1"/>
  <c r="K80" i="38"/>
  <c r="K60" i="38"/>
  <c r="K62" i="38" s="1"/>
  <c r="H209" i="38"/>
  <c r="H200" i="38"/>
  <c r="L45" i="38" s="1"/>
  <c r="K82" i="38"/>
  <c r="K72" i="38"/>
  <c r="H95" i="38"/>
  <c r="H57" i="38"/>
  <c r="H135" i="38"/>
  <c r="H168" i="38" s="1"/>
  <c r="H170" i="38" s="1"/>
  <c r="H96" i="52"/>
  <c r="K96" i="52" s="1"/>
  <c r="L65" i="38" l="1"/>
  <c r="M65" i="38" s="1"/>
  <c r="L80" i="38"/>
  <c r="M80" i="38" s="1"/>
  <c r="L60" i="38"/>
  <c r="M60" i="38" s="1"/>
  <c r="L75" i="38"/>
  <c r="M75" i="38" s="1"/>
  <c r="L85" i="38"/>
  <c r="M85" i="38" s="1"/>
  <c r="L99" i="38"/>
  <c r="M99" i="38" s="1"/>
  <c r="L94" i="38"/>
  <c r="M94" i="38" s="1"/>
  <c r="L70" i="38"/>
  <c r="M70" i="38" s="1"/>
  <c r="L96" i="52"/>
  <c r="J96" i="52"/>
  <c r="L69" i="38"/>
  <c r="L79" i="38"/>
  <c r="L84" i="38"/>
  <c r="L59" i="38"/>
  <c r="L74" i="38"/>
  <c r="L93" i="38"/>
  <c r="L64" i="38"/>
  <c r="L98" i="38"/>
  <c r="M45" i="38"/>
  <c r="H96" i="38"/>
  <c r="H211" i="38"/>
  <c r="H80" i="38"/>
  <c r="N80" i="38" s="1"/>
  <c r="H75" i="38"/>
  <c r="H60" i="38"/>
  <c r="H99" i="52"/>
  <c r="K99" i="52" s="1"/>
  <c r="H99" i="38"/>
  <c r="H65" i="38"/>
  <c r="H137" i="38"/>
  <c r="H85" i="38"/>
  <c r="H70" i="38"/>
  <c r="H94" i="38"/>
  <c r="N94" i="38" s="1"/>
  <c r="N95" i="38"/>
  <c r="H39" i="27"/>
  <c r="H19" i="33" s="1"/>
  <c r="H20" i="33" s="1"/>
  <c r="H23" i="33" s="1"/>
  <c r="H24" i="33" s="1"/>
  <c r="N85" i="38" l="1"/>
  <c r="N99" i="38"/>
  <c r="N65" i="38"/>
  <c r="N70" i="38"/>
  <c r="N60" i="38"/>
  <c r="L62" i="38"/>
  <c r="M62" i="38" s="1"/>
  <c r="N62" i="38" s="1"/>
  <c r="M59" i="38"/>
  <c r="L96" i="38"/>
  <c r="M96" i="38" s="1"/>
  <c r="N96" i="38" s="1"/>
  <c r="M93" i="38"/>
  <c r="L82" i="38"/>
  <c r="M82" i="38" s="1"/>
  <c r="N82" i="38" s="1"/>
  <c r="M79" i="38"/>
  <c r="N75" i="38"/>
  <c r="L77" i="38"/>
  <c r="M77" i="38" s="1"/>
  <c r="N77" i="38" s="1"/>
  <c r="M74" i="38"/>
  <c r="L72" i="38"/>
  <c r="M72" i="38" s="1"/>
  <c r="N72" i="38" s="1"/>
  <c r="M69" i="38"/>
  <c r="L101" i="38"/>
  <c r="M101" i="38" s="1"/>
  <c r="N101" i="38" s="1"/>
  <c r="M98" i="38"/>
  <c r="J99" i="52"/>
  <c r="L99" i="52"/>
  <c r="L67" i="38"/>
  <c r="M67" i="38" s="1"/>
  <c r="N67" i="38" s="1"/>
  <c r="M64" i="38"/>
  <c r="L87" i="38"/>
  <c r="M87" i="38" s="1"/>
  <c r="N87" i="38" s="1"/>
  <c r="M84" i="38"/>
  <c r="G22" i="30"/>
  <c r="H42" i="38"/>
  <c r="H38" i="27"/>
  <c r="H18" i="33" l="1"/>
  <c r="H11" i="52"/>
  <c r="K11" i="52" s="1"/>
  <c r="H108" i="52"/>
  <c r="K108" i="52" s="1"/>
  <c r="H89" i="52"/>
  <c r="K89" i="52" s="1"/>
  <c r="H14" i="27"/>
  <c r="H28" i="38" s="1"/>
  <c r="H29" i="38" s="1"/>
  <c r="H32" i="38" s="1"/>
  <c r="L89" i="52" l="1"/>
  <c r="J89" i="52"/>
  <c r="L108" i="52"/>
  <c r="J108" i="52"/>
  <c r="J11" i="52"/>
  <c r="L11" i="52"/>
  <c r="H13" i="27"/>
  <c r="H27" i="38" s="1"/>
  <c r="H33" i="38" l="1"/>
  <c r="H40" i="38" s="1"/>
  <c r="H45" i="38" s="1"/>
  <c r="H103" i="52"/>
  <c r="K103" i="52" s="1"/>
  <c r="H126" i="38" l="1"/>
  <c r="H213" i="38" s="1"/>
  <c r="N45" i="38"/>
  <c r="L103" i="52"/>
  <c r="J103" i="52"/>
  <c r="H106" i="52"/>
  <c r="K106" i="52" s="1"/>
  <c r="J106" i="52" l="1"/>
  <c r="L106" i="52"/>
  <c r="H120" i="38"/>
  <c r="H74" i="38"/>
  <c r="N74" i="38" s="1"/>
  <c r="H64" i="38"/>
  <c r="N64" i="38" s="1"/>
  <c r="H98" i="38"/>
  <c r="N98" i="38" s="1"/>
  <c r="H93" i="38"/>
  <c r="N93" i="38" s="1"/>
  <c r="H69" i="38"/>
  <c r="N69" i="38" s="1"/>
  <c r="H84" i="38"/>
  <c r="N84" i="38" s="1"/>
  <c r="H59" i="38"/>
  <c r="N59" i="38" s="1"/>
  <c r="H79" i="38"/>
  <c r="N79" i="38" s="1"/>
  <c r="H115" i="38" l="1"/>
  <c r="H103" i="38"/>
  <c r="H114" i="38"/>
  <c r="H90" i="38"/>
  <c r="H110" i="52" s="1"/>
  <c r="K110" i="52" s="1"/>
  <c r="H111" i="38"/>
  <c r="H113" i="38"/>
  <c r="H89" i="38"/>
  <c r="H112" i="38"/>
  <c r="H105" i="38" l="1"/>
  <c r="H116" i="38" s="1"/>
  <c r="A105" i="38"/>
  <c r="H116" i="52"/>
  <c r="K116" i="52" s="1"/>
  <c r="L116" i="52" s="1"/>
  <c r="G19" i="30"/>
  <c r="H113" i="52"/>
  <c r="K113" i="52" s="1"/>
  <c r="L113" i="52" s="1"/>
  <c r="G17" i="30"/>
  <c r="G15" i="30"/>
  <c r="H112" i="52"/>
  <c r="K112" i="52" s="1"/>
  <c r="L112" i="52" s="1"/>
  <c r="J110" i="52"/>
  <c r="L110" i="52"/>
  <c r="H91" i="38"/>
  <c r="H110" i="38" s="1"/>
  <c r="H109" i="52"/>
  <c r="K109" i="52" s="1"/>
  <c r="L109" i="52" s="1"/>
  <c r="G18" i="30"/>
  <c r="H115" i="52"/>
  <c r="K115" i="52" s="1"/>
  <c r="J115" i="52" s="1"/>
  <c r="G16" i="30"/>
  <c r="H111" i="52"/>
  <c r="K111" i="52" s="1"/>
  <c r="J111" i="52" s="1"/>
  <c r="J113" i="52" l="1"/>
  <c r="H117" i="52"/>
  <c r="K117" i="52" s="1"/>
  <c r="L117" i="52" s="1"/>
  <c r="G20" i="30"/>
  <c r="H117" i="38"/>
  <c r="J116" i="52"/>
  <c r="L115" i="52"/>
  <c r="H114" i="52"/>
  <c r="K114" i="52" s="1"/>
  <c r="J114" i="52" s="1"/>
  <c r="G14" i="30"/>
  <c r="I19" i="30" s="1"/>
  <c r="L111" i="52"/>
  <c r="J109" i="52"/>
  <c r="J112" i="52"/>
  <c r="J17" i="30" l="1"/>
  <c r="K17" i="30" s="1"/>
  <c r="H119" i="38"/>
  <c r="H121" i="38" s="1"/>
  <c r="F25" i="36" s="1"/>
  <c r="F11" i="36" s="1"/>
  <c r="F2" i="36" s="1"/>
  <c r="J117" i="52"/>
  <c r="J2" i="52" s="1"/>
  <c r="F30" i="36" s="1"/>
  <c r="F3" i="36" s="1"/>
  <c r="M21" i="30"/>
  <c r="L21" i="30" s="1"/>
  <c r="I23" i="30"/>
  <c r="I20" i="30"/>
  <c r="M22" i="30"/>
  <c r="L22" i="30" s="1"/>
  <c r="I15" i="30"/>
  <c r="J18" i="30"/>
  <c r="K18" i="30" s="1"/>
  <c r="J23" i="30"/>
  <c r="K23" i="30" s="1"/>
  <c r="M17" i="30"/>
  <c r="L17" i="30" s="1"/>
  <c r="J22" i="30"/>
  <c r="K22" i="30" s="1"/>
  <c r="M14" i="30"/>
  <c r="L14" i="30" s="1"/>
  <c r="M20" i="30"/>
  <c r="L20" i="30" s="1"/>
  <c r="J14" i="30"/>
  <c r="K14" i="30" s="1"/>
  <c r="M16" i="30"/>
  <c r="L16" i="30" s="1"/>
  <c r="I17" i="30"/>
  <c r="L114" i="52"/>
  <c r="M18" i="30"/>
  <c r="L18" i="30" s="1"/>
  <c r="J19" i="30"/>
  <c r="K19" i="30" s="1"/>
  <c r="J20" i="30"/>
  <c r="K20" i="30" s="1"/>
  <c r="I14" i="30"/>
  <c r="J16" i="30"/>
  <c r="K16" i="30" s="1"/>
  <c r="I22" i="30"/>
  <c r="M15" i="30"/>
  <c r="L15" i="30" s="1"/>
  <c r="I21" i="30"/>
  <c r="M19" i="30"/>
  <c r="L19" i="30" s="1"/>
  <c r="M23" i="30"/>
  <c r="L23" i="30" s="1"/>
  <c r="H24" i="30"/>
  <c r="I16" i="30"/>
  <c r="J15" i="30"/>
  <c r="K15" i="30" s="1"/>
  <c r="J21" i="30"/>
  <c r="K21" i="30" s="1"/>
  <c r="I18" i="30"/>
  <c r="F1" i="48" l="1"/>
  <c r="F1" i="56"/>
  <c r="F1" i="40"/>
  <c r="F1" i="62"/>
  <c r="F1" i="33"/>
  <c r="F1" i="31"/>
  <c r="F1" i="38"/>
  <c r="F2" i="52"/>
  <c r="D28" i="39"/>
  <c r="E28" i="39" s="1"/>
  <c r="H30" i="30"/>
  <c r="F3" i="52"/>
  <c r="H31" i="30"/>
  <c r="D29" i="39"/>
  <c r="E29" i="39" s="1"/>
  <c r="F2" i="38"/>
  <c r="F2" i="31"/>
  <c r="F2" i="40"/>
  <c r="F2" i="62"/>
  <c r="F2" i="33"/>
  <c r="F2" i="56"/>
  <c r="F2" i="48"/>
</calcChain>
</file>

<file path=xl/sharedStrings.xml><?xml version="1.0" encoding="utf-8"?>
<sst xmlns="http://schemas.openxmlformats.org/spreadsheetml/2006/main" count="1285" uniqueCount="732">
  <si>
    <t>Constant</t>
  </si>
  <si>
    <t>Unit</t>
  </si>
  <si>
    <t>£m</t>
  </si>
  <si>
    <t>%</t>
  </si>
  <si>
    <t>WHOLESALE</t>
  </si>
  <si>
    <t>Retail allowed revenue per customer: joint services</t>
  </si>
  <si>
    <t>End of sheet</t>
  </si>
  <si>
    <t>Wastewater</t>
  </si>
  <si>
    <t>Thousands in a million</t>
  </si>
  <si>
    <t>thousand</t>
  </si>
  <si>
    <t>PR14</t>
  </si>
  <si>
    <t>PR19</t>
  </si>
  <si>
    <t>BILL</t>
  </si>
  <si>
    <t>Values</t>
  </si>
  <si>
    <t>Ends</t>
  </si>
  <si>
    <t>Blank</t>
  </si>
  <si>
    <t>Up &gt; 0</t>
  </si>
  <si>
    <t>Up &lt;0</t>
  </si>
  <si>
    <t>Down &gt; 0</t>
  </si>
  <si>
    <t>Down &lt; 0</t>
  </si>
  <si>
    <t>Change in bill due to change in customer numbers</t>
  </si>
  <si>
    <t>Change in bill due to change in other wholesale items</t>
  </si>
  <si>
    <t>Value</t>
  </si>
  <si>
    <t>Totex</t>
  </si>
  <si>
    <t>Change in bill due to change in retail CTS</t>
  </si>
  <si>
    <t>RCV</t>
  </si>
  <si>
    <t>Other wholesale items</t>
  </si>
  <si>
    <t>Customers</t>
  </si>
  <si>
    <t>Water</t>
  </si>
  <si>
    <t>PR14 RCV depreciation with PR19 run-off rate - Water</t>
  </si>
  <si>
    <t>Change in RCV depreciation - Wastewater</t>
  </si>
  <si>
    <t>Change in RCV depreciation due to change in run-off rate - Water</t>
  </si>
  <si>
    <t>Change in RCV depreciation due to change in RCV - Water</t>
  </si>
  <si>
    <t>Change in RCV depreciation - Water</t>
  </si>
  <si>
    <t>Change in RCV depreciation due to change in run-off rate - Wastewater</t>
  </si>
  <si>
    <t>Change in RCV depreciation due to change in RCV - Wastewater</t>
  </si>
  <si>
    <t>Change in PAYG Totex - Water</t>
  </si>
  <si>
    <t>PR14 PAYG Totex with PR19 PAYG% - Water</t>
  </si>
  <si>
    <t>Change in PAYG Totex due to change in PAYG% - Water</t>
  </si>
  <si>
    <t>Change in PAYG Totex due to change in Totex - Water</t>
  </si>
  <si>
    <t>Change in PAYG Totex - Wastewater</t>
  </si>
  <si>
    <t>PR14 PAYG Totex with PR19 PAYG% - Wastewater</t>
  </si>
  <si>
    <t>Change in PAYG Totex due to change in PAYG% - Wastewater</t>
  </si>
  <si>
    <t>Change in PAYG Totex due to change in Totex - Wastewater</t>
  </si>
  <si>
    <t>Change in retail CTS</t>
  </si>
  <si>
    <t>PR19 Weighted average run-off rate - Wastewater</t>
  </si>
  <si>
    <t>PR19 Weighted average run-off rate - water</t>
  </si>
  <si>
    <t>Weighted average PAYG% - active - Wastewater</t>
  </si>
  <si>
    <t>Change in PAYG Totex due to change in PAYG%</t>
  </si>
  <si>
    <t>Change in PAYG Totex due to change in Totex</t>
  </si>
  <si>
    <t>Model 1 label</t>
  </si>
  <si>
    <t>Model 2 label</t>
  </si>
  <si>
    <t>text</t>
  </si>
  <si>
    <t>Water resources</t>
  </si>
  <si>
    <t>Water network</t>
  </si>
  <si>
    <t>Wastewater network</t>
  </si>
  <si>
    <t>Bio resources</t>
  </si>
  <si>
    <t>RCV as at 2015 - 2017/18 year average CPIH deflated - water</t>
  </si>
  <si>
    <t>Weighted average PAYG% - active - Water</t>
  </si>
  <si>
    <t>CUSTOMERS</t>
  </si>
  <si>
    <t>£</t>
  </si>
  <si>
    <t>000s</t>
  </si>
  <si>
    <t>ALLOWED REVENUE</t>
  </si>
  <si>
    <t>Total households - Water</t>
  </si>
  <si>
    <t>Total households - Water &amp; Wastewater</t>
  </si>
  <si>
    <t>Total households - Wastewater</t>
  </si>
  <si>
    <t>Total households - Water only</t>
  </si>
  <si>
    <t>Total households - Wastewater only</t>
  </si>
  <si>
    <t>Retail allowed revenue per customer</t>
  </si>
  <si>
    <t>RCV as at 2015 - 2017/18 year average CPIH deflated - Wastewater</t>
  </si>
  <si>
    <t>RCV post 2020 additions depreciation - BR</t>
  </si>
  <si>
    <t>Indexation of RCV post 2020 additions depreciation - BR</t>
  </si>
  <si>
    <t>PR14 RCV depreciation with PR19 run-off rate - Wastewater</t>
  </si>
  <si>
    <t>Change in Return on RCV - Water</t>
  </si>
  <si>
    <t>PR19 Weighted average WACC - Water</t>
  </si>
  <si>
    <t>PR14 Return on RCV with PR19 WACC - Water</t>
  </si>
  <si>
    <t>Change in Return on RCV due to change in WACC - Water</t>
  </si>
  <si>
    <t>Change in Return on RCV due to change in RCV - Water</t>
  </si>
  <si>
    <t>years</t>
  </si>
  <si>
    <t>Proportion of capex that is subject to depreciation in year of acquisition</t>
  </si>
  <si>
    <t>RCV balance - Water</t>
  </si>
  <si>
    <t>RCV depreciation - Water</t>
  </si>
  <si>
    <t>Checks</t>
  </si>
  <si>
    <t>Track chgs</t>
  </si>
  <si>
    <t>CHECK SUMMARY</t>
  </si>
  <si>
    <t>MODEL INTEGRITY CHECKS</t>
  </si>
  <si>
    <t>Total model integrity checks</t>
  </si>
  <si>
    <t>[do not delete row]</t>
  </si>
  <si>
    <t>Wholesale allowed revenue</t>
  </si>
  <si>
    <t>Note</t>
  </si>
  <si>
    <t>Change in average residential bill (combined for WaSCs), £</t>
  </si>
  <si>
    <t>Model name:</t>
  </si>
  <si>
    <t>Version number:</t>
  </si>
  <si>
    <t>Filename:</t>
  </si>
  <si>
    <t>Date:</t>
  </si>
  <si>
    <t>Author:</t>
  </si>
  <si>
    <t>Author contact information:</t>
  </si>
  <si>
    <t>Summary of model:</t>
  </si>
  <si>
    <t>Known limitations:</t>
  </si>
  <si>
    <t>Issue</t>
  </si>
  <si>
    <t>Details</t>
  </si>
  <si>
    <t>Model link</t>
  </si>
  <si>
    <t xml:space="preserve">The model has been subject to internal Ofwat quality assurance. </t>
  </si>
  <si>
    <t>Users should refer to the "Delivering Water 2020: Our final methodology for the 2019 price review" for information on proposed policy.</t>
  </si>
  <si>
    <t>Feedback:</t>
  </si>
  <si>
    <t>Error check status:</t>
  </si>
  <si>
    <t>Instructions:</t>
  </si>
  <si>
    <t>A model 'User guide' is present in the model to help the user in operating the model.</t>
  </si>
  <si>
    <t>Follow link &gt;&gt;</t>
  </si>
  <si>
    <t>Ofwat</t>
  </si>
  <si>
    <t>PR19 Bill Movement Model</t>
  </si>
  <si>
    <t xml:space="preserve">The model is not a policy statement. </t>
  </si>
  <si>
    <r>
      <t xml:space="preserve">We would welcome feedback on the PR19 bill movement model. </t>
    </r>
    <r>
      <rPr>
        <b/>
        <sz val="12"/>
        <color rgb="FF000000"/>
        <rFont val="Franklin Gothic Book"/>
        <family val="2"/>
      </rPr>
      <t>Please send any feedback to the following email address</t>
    </r>
    <r>
      <rPr>
        <sz val="12"/>
        <color rgb="FF000000"/>
        <rFont val="Franklin Gothic Book"/>
        <family val="2"/>
      </rPr>
      <t>.</t>
    </r>
  </si>
  <si>
    <t>The model draws data automatically from the PR14 and PR19 models.</t>
  </si>
  <si>
    <t xml:space="preserve">The model calculates the movement in average residential bill (combined bill for WaSCs). </t>
  </si>
  <si>
    <t>Subtract the PR19 PAYG Totex from the PR14 PAYG Totex to give the actual change in PAYG Totex</t>
  </si>
  <si>
    <t>Gather together the components of the change in PAYG Totex for water and wastewater.</t>
  </si>
  <si>
    <t>This section calculates the components causing the change in PAYG Totex</t>
  </si>
  <si>
    <t>This section calculates the components causing the change in RCV depreciation</t>
  </si>
  <si>
    <t>Non-PAYG Totex - 201718 year average CPIH deflated - Water</t>
  </si>
  <si>
    <t>Subtract the PR19 RCV depreciation from the PR14 RCV depreciation to give the actual change in RCV depreciation</t>
  </si>
  <si>
    <t>Gather together the components of the change in RCV depreciation for water and wastewater.</t>
  </si>
  <si>
    <t>Change in RCV depreciation due to change in run-off rate</t>
  </si>
  <si>
    <t>Change in RCV depreciation due to change in RCV</t>
  </si>
  <si>
    <t>This section calculates the components that cause a change in the return on RCV</t>
  </si>
  <si>
    <t>RCV balance - Wastewater</t>
  </si>
  <si>
    <t>RCV depreciation - Wastewater</t>
  </si>
  <si>
    <t>Subtract the PR19 return on RCV from the PR14 return on RCV to give the actual change in return</t>
  </si>
  <si>
    <t>Gather together the components of the change in return on RCV for water and wastewater.</t>
  </si>
  <si>
    <t>PR19 Weighted average WACC - Wastewater</t>
  </si>
  <si>
    <t>PR14 Return on RCV with PR19 WACC - Wastewater</t>
  </si>
  <si>
    <t>Change in Return on RCV - Wastewater</t>
  </si>
  <si>
    <t>Change in Return on RCV due to change in WACC - Wastewater</t>
  </si>
  <si>
    <t>Change in Return on RCV due to change in RCV - Wastewater</t>
  </si>
  <si>
    <t>Change in return on RCV due to change in WACC</t>
  </si>
  <si>
    <t>Change in return on RCV due to change in RCV</t>
  </si>
  <si>
    <t>WHOLESALE: Change in bill due to change in PAYG TOTEX</t>
  </si>
  <si>
    <t>WHOLESALE: Change in bill due to change in CUSTOMER NUMBERS and APPORTIONMENT</t>
  </si>
  <si>
    <t>WHOLESALE: Change in bill due to change in RCV DEPRECIATION</t>
  </si>
  <si>
    <t>Change in bill due to change in RETURN ON RCV</t>
  </si>
  <si>
    <t>RETAIL: Change in bill due to change in COST TO SERVE</t>
  </si>
  <si>
    <t>WHOLESALE: Change in bill due to change in OTHER ITEMS</t>
  </si>
  <si>
    <t>Change due to all wholesale changes except customer numbers</t>
  </si>
  <si>
    <t>Average combined bill - 2017/18 year average CPIH deflated</t>
  </si>
  <si>
    <t>Weighted average residential apportionment - Water</t>
  </si>
  <si>
    <t>Change due to all wholesale changes except customer numbers (per customer)</t>
  </si>
  <si>
    <t>Change in RCV depreciation due to change in RCV (per customer)</t>
  </si>
  <si>
    <t>Change in customer numbers and residential apportionment</t>
  </si>
  <si>
    <t>Change in Water RCV depreciation check</t>
  </si>
  <si>
    <t>Change in Wastewater RCV depreciation check</t>
  </si>
  <si>
    <t>Change in Wastewater return on RCV check</t>
  </si>
  <si>
    <t>Change in Water PAYG Totex check</t>
  </si>
  <si>
    <t>Change in Wastewater PAYG Totex check</t>
  </si>
  <si>
    <t>Inputs</t>
  </si>
  <si>
    <t>SHEET TABS</t>
  </si>
  <si>
    <t>Light Yellow</t>
  </si>
  <si>
    <t>Input sheets</t>
  </si>
  <si>
    <t>No colour (default Excel tab colour)</t>
  </si>
  <si>
    <t>Calculation and documentation sheets</t>
  </si>
  <si>
    <t>Pale Blue</t>
  </si>
  <si>
    <t>Key output sheets</t>
  </si>
  <si>
    <t>Turquoise</t>
  </si>
  <si>
    <t>Quality control sheets</t>
  </si>
  <si>
    <t>Yellow</t>
  </si>
  <si>
    <t>To be completed, temporary, restructured, or deleted</t>
  </si>
  <si>
    <t>COLOUR</t>
  </si>
  <si>
    <t>Font colour only</t>
  </si>
  <si>
    <t>Blue font</t>
  </si>
  <si>
    <t>Imported from another sheet</t>
  </si>
  <si>
    <t xml:space="preserve">Red font </t>
  </si>
  <si>
    <t>Exported to another sheet (except from Input sheets)</t>
  </si>
  <si>
    <t>Black font</t>
  </si>
  <si>
    <t>Within sheet link or calculation</t>
  </si>
  <si>
    <t>Font + shade combinations</t>
  </si>
  <si>
    <t>Black font + Light Yellow shade</t>
  </si>
  <si>
    <t>Black font + Light Grey shade on entire row</t>
  </si>
  <si>
    <t xml:space="preserve">Within-worksheet counter-flow </t>
  </si>
  <si>
    <t>Blue font + Light Grey shade on entire row</t>
  </si>
  <si>
    <t xml:space="preserve">Between-worksheet counter-flow </t>
  </si>
  <si>
    <t>Empty Cell with Light Grey shade</t>
  </si>
  <si>
    <t>Empty cells being deliberately referenced</t>
  </si>
  <si>
    <t>Other</t>
  </si>
  <si>
    <t>Black font + Pale Blue shade on entire row</t>
  </si>
  <si>
    <t>Section separator</t>
  </si>
  <si>
    <t>Light Turquoise shade</t>
  </si>
  <si>
    <t>Stored/dead/hard coded outputs</t>
  </si>
  <si>
    <t>Tan shade</t>
  </si>
  <si>
    <t>Pre-model time line actuals</t>
  </si>
  <si>
    <t>Yellow shade</t>
  </si>
  <si>
    <t>Work in progress / temporary</t>
  </si>
  <si>
    <t>Lime shade</t>
  </si>
  <si>
    <t>Values or logic to be reviewed</t>
  </si>
  <si>
    <t>Error checks &amp; alerts</t>
  </si>
  <si>
    <t>Green shade</t>
  </si>
  <si>
    <t>OK</t>
  </si>
  <si>
    <t>Red shade</t>
  </si>
  <si>
    <t>Error</t>
  </si>
  <si>
    <t>Gold shade</t>
  </si>
  <si>
    <t>Alert</t>
  </si>
  <si>
    <t>ABBREVIATIONS</t>
  </si>
  <si>
    <t>Great Britain Pound</t>
  </si>
  <si>
    <t>BEG</t>
  </si>
  <si>
    <t>Beginning</t>
  </si>
  <si>
    <t>BR</t>
  </si>
  <si>
    <t>CALC</t>
  </si>
  <si>
    <t>Calculation</t>
  </si>
  <si>
    <t>CTS</t>
  </si>
  <si>
    <t>Cost to serve</t>
  </si>
  <si>
    <t>m</t>
  </si>
  <si>
    <t>Million</t>
  </si>
  <si>
    <t>na</t>
  </si>
  <si>
    <t>Not available / applicable</t>
  </si>
  <si>
    <t>Opex</t>
  </si>
  <si>
    <t>Operating expenditure</t>
  </si>
  <si>
    <t>PAYG</t>
  </si>
  <si>
    <t xml:space="preserve">Pay as you go </t>
  </si>
  <si>
    <t>POS</t>
  </si>
  <si>
    <t>Positive</t>
  </si>
  <si>
    <t xml:space="preserve">Regulatory capital value </t>
  </si>
  <si>
    <t xml:space="preserve">Total expenditure </t>
  </si>
  <si>
    <t>WACC</t>
  </si>
  <si>
    <t>Weighted average cost of capital</t>
  </si>
  <si>
    <t>WaSC</t>
  </si>
  <si>
    <t>Water and Sewerage company</t>
  </si>
  <si>
    <t>WN</t>
  </si>
  <si>
    <t>WoC</t>
  </si>
  <si>
    <t>Water only company</t>
  </si>
  <si>
    <t>WR</t>
  </si>
  <si>
    <t>WWN</t>
  </si>
  <si>
    <t>Waste water network</t>
  </si>
  <si>
    <t>LIST OF MACROS USED</t>
  </si>
  <si>
    <t>Store track results</t>
  </si>
  <si>
    <t>This macro helps in storing the results/outputs after any change is made in the model on "Track" sheet.</t>
  </si>
  <si>
    <t>These stored results then can be used to analyse the impact of any change made in the model.</t>
  </si>
  <si>
    <t>Save as PDF</t>
  </si>
  <si>
    <t>Change in other wholesale items</t>
  </si>
  <si>
    <t xml:space="preserve">less this </t>
  </si>
  <si>
    <t>plus this</t>
  </si>
  <si>
    <t>less</t>
  </si>
  <si>
    <t>Error chks</t>
  </si>
  <si>
    <t>do not del col</t>
  </si>
  <si>
    <t>Comparison column label</t>
  </si>
  <si>
    <t>Difference</t>
  </si>
  <si>
    <t>INPUTS</t>
  </si>
  <si>
    <t>INFO ONLY</t>
  </si>
  <si>
    <t>Date</t>
  </si>
  <si>
    <t>Time</t>
  </si>
  <si>
    <t>File</t>
  </si>
  <si>
    <t>range end</t>
  </si>
  <si>
    <t>Comment: Key input and logic changes</t>
  </si>
  <si>
    <t>Comment: Key result changes</t>
  </si>
  <si>
    <t>Total track changes</t>
  </si>
  <si>
    <t>Sum the change due to customer numbers for water and wastewater.</t>
  </si>
  <si>
    <t>This section calculates the change in the bill due to the change in customer numbers and apportionment</t>
  </si>
  <si>
    <t>Bill Movement Summary</t>
  </si>
  <si>
    <t>This macro helps in saving any worksheet or chart in PDF format.</t>
  </si>
  <si>
    <t>Customer Numbers and apportionment</t>
  </si>
  <si>
    <t>RCV depreciation</t>
  </si>
  <si>
    <t>Diff %</t>
  </si>
  <si>
    <t>Component Movement Summary</t>
  </si>
  <si>
    <t>NON CHANGEABLE INPUTS</t>
  </si>
  <si>
    <t>Track Tolerance Level</t>
  </si>
  <si>
    <t>tolerance</t>
  </si>
  <si>
    <t>Check Tolerance Level</t>
  </si>
  <si>
    <t>Sum the components for water resources and water network</t>
  </si>
  <si>
    <t>Subtract the 'PR14 RCV depreciation with PR19 run-off rate' from the PR14 RCV depreciation to find the change in the RCV depreciation due to the change in the run-off rate only</t>
  </si>
  <si>
    <t>Sum the components for bio resources and wastewater network</t>
  </si>
  <si>
    <t>Subtract the 'PR14 Return on RCV with PR19 WACC' from the PR14 return on RCV to find the change in the return due to the change in the WACC only</t>
  </si>
  <si>
    <t>Subtract the 'PR14 PAYG Totex with PR19 PAYG%' from the PR14 PAYG Totex to find the change in the PAYG Totex due to the change in the PAYG% only</t>
  </si>
  <si>
    <t>Summary</t>
  </si>
  <si>
    <t>INDEXATION</t>
  </si>
  <si>
    <t>Calculate the weighted average apportionment for water (water resources and water network)</t>
  </si>
  <si>
    <t>Calculate the % change in customer numbers and apportionment combined</t>
  </si>
  <si>
    <t>Change in wholesale water allowed revenue per customer due to change in customer numbers and apportionment</t>
  </si>
  <si>
    <t>Change in wholesale wastewater allowed revenue per customer due to change in customer numbers and apportionment</t>
  </si>
  <si>
    <t>Weighted average residential apportionment - Wastewater</t>
  </si>
  <si>
    <t>PR19 households as a % of PR14 households - Water</t>
  </si>
  <si>
    <t>PR19 apportionment as a % of PR14 apportionment - Water</t>
  </si>
  <si>
    <t>PR19 customer numbers and apportionment as a % of PR14 customer numbers and apportionment</t>
  </si>
  <si>
    <t>PR19 households as a % of PR14 households - Wastewater</t>
  </si>
  <si>
    <t>PR19 apportionment as a % of PR14 apportionment - Wastewater</t>
  </si>
  <si>
    <t>Wholesale water allowed revenue per customer - 2017/18 year average CPIH deflated - water</t>
  </si>
  <si>
    <t>Wholesale Wastewater allowed revenue per customer - 2017/18 year average CPIH deflated - Wastewater</t>
  </si>
  <si>
    <t>Goto macro</t>
  </si>
  <si>
    <t>name</t>
  </si>
  <si>
    <t>Company Type</t>
  </si>
  <si>
    <t>Company type switch</t>
  </si>
  <si>
    <t>Average bill - real</t>
  </si>
  <si>
    <t xml:space="preserve">0 = WaSC, 1 = WoC </t>
  </si>
  <si>
    <t>On the Excel menu click DATA / Edit Links</t>
  </si>
  <si>
    <t>Navigate to the correct PR19 financial model and select it.</t>
  </si>
  <si>
    <t>Select the link to the PR19 model and click "Change Source"</t>
  </si>
  <si>
    <t>Goto User Guide</t>
  </si>
  <si>
    <t xml:space="preserve">The model will automatically pick up the correct input fields when you link it to the water company financial models. </t>
  </si>
  <si>
    <t>in PR14 joint service AR = single service AR * economies of scope factor (= 1.3)</t>
  </si>
  <si>
    <t>Change in RCV (per customer)</t>
  </si>
  <si>
    <t>Change in WACC (per customer)</t>
  </si>
  <si>
    <t>Change in Totex (per customer)</t>
  </si>
  <si>
    <t>Change in PAYG% (per customer)</t>
  </si>
  <si>
    <t>Select the link to the PR14 model and click "Change Source"</t>
  </si>
  <si>
    <t>Navigate to the correct PR14 financial model and select it</t>
  </si>
  <si>
    <t>2019/20 average residential bill</t>
  </si>
  <si>
    <t>2024/25 average residential bill</t>
  </si>
  <si>
    <t xml:space="preserve">Step 1 - </t>
  </si>
  <si>
    <t xml:space="preserve">Step 2 - </t>
  </si>
  <si>
    <t xml:space="preserve">Step 3 - </t>
  </si>
  <si>
    <t xml:space="preserve">Step 4 - </t>
  </si>
  <si>
    <t xml:space="preserve">Step 5 - </t>
  </si>
  <si>
    <t>Review the difference between stored cases and active case (col H) by selecting the stored case in cell H6.</t>
  </si>
  <si>
    <t>Select the column by pressing Ctrl + Spacebar and Copy (Ctrl + C). Then insert a new column after the last stored column by pressing Alt, I, E</t>
  </si>
  <si>
    <t>Select the newly inserted column (Ctrl + Spacebar) and delete the previously stored values from this column by pressing Delete button</t>
  </si>
  <si>
    <t>Paste the selected values (Alt E, S, V) in newly inserted column</t>
  </si>
  <si>
    <t>Update 'New track name' in row 6 of newly inserted column. Then select 'New track name' from the dropdown list present in H6.</t>
  </si>
  <si>
    <t xml:space="preserve">Step 6 - </t>
  </si>
  <si>
    <t>HOW TO STORE TRACK IN TRACK SHEET</t>
  </si>
  <si>
    <t>INTRODUCTION</t>
  </si>
  <si>
    <t>INITIAL SET UP</t>
  </si>
  <si>
    <t>NAVIGATION</t>
  </si>
  <si>
    <t>In order to navigate through the model the following key strokes will prove useful:</t>
  </si>
  <si>
    <r>
      <t xml:space="preserve">- To go to a sheet or row select a </t>
    </r>
    <r>
      <rPr>
        <sz val="10"/>
        <color indexed="12"/>
        <rFont val="Arial"/>
        <family val="2"/>
      </rPr>
      <t>blue font</t>
    </r>
    <r>
      <rPr>
        <sz val="10"/>
        <rFont val="Arial"/>
        <family val="2"/>
      </rPr>
      <t xml:space="preserve"> cell and then either press CTRL+ [ or double click</t>
    </r>
  </si>
  <si>
    <t>- To return To the last position press F5 + Enter</t>
  </si>
  <si>
    <t>- In accordance with best practice, the model is saved with a "Manual Calculation" setting. To ensure a full recalculation press: Ctrl + Alt + F9</t>
  </si>
  <si>
    <t xml:space="preserve">Step 7 - </t>
  </si>
  <si>
    <t>Recalculate the model. Press Ctrl + Alt + F9</t>
  </si>
  <si>
    <t>This model will create a waterfall chart showing the main components causing the movement in bills between PR14 and PR19.</t>
  </si>
  <si>
    <t>On first use of the model you will need to link to both the PR14 and PR19 financial models for your company.</t>
  </si>
  <si>
    <t>HOW TO SAVE A PDF COPY OF THE WATERFALL CHART</t>
  </si>
  <si>
    <t>In the dialog box, "Enter sheet name", type Waterfall</t>
  </si>
  <si>
    <t>In the dialog box, "Save As" change the file name if required</t>
  </si>
  <si>
    <t>Press "Save" to save a Pdf copy of the sheet</t>
  </si>
  <si>
    <t>To save the 'Waterfall' chart in PDF format, press button "Save as PDF"</t>
  </si>
  <si>
    <t>A dialog box "Enter the label for the new track column" will appear, type the new track label (for example: "version 17r"), the label will appear in row 6</t>
  </si>
  <si>
    <t>Press enter, a new track column will appear before the last stored track</t>
  </si>
  <si>
    <t>To store Track in the Track sheet using the macro, follow the steps below:</t>
  </si>
  <si>
    <t>USING MACRO</t>
  </si>
  <si>
    <t>MANUAL METHOD</t>
  </si>
  <si>
    <t>To store Track in the Track sheet manually, follow the steps below:</t>
  </si>
  <si>
    <t>Go to active track column (H column). Select the range from H6 till 'do not delete row - range end' row and Copy (Ctrl + C)</t>
  </si>
  <si>
    <t>A dialog box "Enter the comment for the new track" will appear, write a brief description of the change. The description will be appear at the bottom of the track column</t>
  </si>
  <si>
    <t>Nil inputs</t>
  </si>
  <si>
    <t>BillModel_v0.0.xlsm</t>
  </si>
  <si>
    <t>Retrun on RCV</t>
  </si>
  <si>
    <t>Go to the Track sheet and press the "Store Track" button to save the track for a new case</t>
  </si>
  <si>
    <t>Store Track</t>
  </si>
  <si>
    <t>Bill Summary</t>
  </si>
  <si>
    <t>TIME</t>
  </si>
  <si>
    <t>Model period ending</t>
  </si>
  <si>
    <t>date</t>
  </si>
  <si>
    <t>Financial year ending</t>
  </si>
  <si>
    <t>year #</t>
  </si>
  <si>
    <t>MODEL PARAMETERS</t>
  </si>
  <si>
    <t>check</t>
  </si>
  <si>
    <t>Track checks</t>
  </si>
  <si>
    <t>Calculate the weighted average apportionment for wastewater (bio resources and wastewater network)</t>
  </si>
  <si>
    <t>This section calculates the PR19 customer numbers and indexes the nominal revenue requirement</t>
  </si>
  <si>
    <t>only used for tracking</t>
  </si>
  <si>
    <t>Depreciation of 2015 RCV - 2017/18 year average CPIH deflated - Water</t>
  </si>
  <si>
    <t xml:space="preserve">Calculate depreciation on RCV additions using the equation in the PR14 model </t>
  </si>
  <si>
    <t>Depreciation of 2015 RCV - 2017/18 year average CPIH deflated - Wastewater</t>
  </si>
  <si>
    <t>Calculate depreciation on RCV additions using the equations in the PR14 model</t>
  </si>
  <si>
    <t>Depreciation of 2015 RCV - 2017/18 year average CPIH deflated - Water POS</t>
  </si>
  <si>
    <t>Depreciation of 2015 RCV - 2017/18 year average CPIH deflated - Wastewater POS</t>
  </si>
  <si>
    <t>Calculate depreciation on RCV additions using the equations in the PR19 model</t>
  </si>
  <si>
    <t>Return on RCV</t>
  </si>
  <si>
    <t>RECONCILIATIONS</t>
  </si>
  <si>
    <t>Total RCV - real - Water</t>
  </si>
  <si>
    <t>Total RCV - real - Wastewater</t>
  </si>
  <si>
    <t>Total return on RCV - real - Wastewater</t>
  </si>
  <si>
    <t>Total return on RCV - real - Water</t>
  </si>
  <si>
    <t>Table of Contents</t>
  </si>
  <si>
    <t>DOCUMENTATION</t>
  </si>
  <si>
    <t>MODEL INPUTS</t>
  </si>
  <si>
    <t>MODEL CALCULATIONS</t>
  </si>
  <si>
    <t>MODEL OUTPUTS</t>
  </si>
  <si>
    <t>MODEL QA</t>
  </si>
  <si>
    <t>Cover</t>
  </si>
  <si>
    <t>Check</t>
  </si>
  <si>
    <t>Model cover sheet</t>
  </si>
  <si>
    <t>User Guide</t>
  </si>
  <si>
    <t>Track</t>
  </si>
  <si>
    <t>Explanation of setup and macros</t>
  </si>
  <si>
    <t>Model changes and track records</t>
  </si>
  <si>
    <t>Map &amp; Key</t>
  </si>
  <si>
    <t>InpAct</t>
  </si>
  <si>
    <t>ToC and key to formatting</t>
  </si>
  <si>
    <t>All inputs to be flowed into model</t>
  </si>
  <si>
    <t>TABLE OF CONTENTS</t>
  </si>
  <si>
    <t>InpC</t>
  </si>
  <si>
    <t>Constants</t>
  </si>
  <si>
    <t>Wholesale</t>
  </si>
  <si>
    <t>Retail</t>
  </si>
  <si>
    <t>GraphData</t>
  </si>
  <si>
    <t>Waterfall</t>
  </si>
  <si>
    <t>Change due to PAYG Totex and rate</t>
  </si>
  <si>
    <t>Change due to RCV, WACC and run-off</t>
  </si>
  <si>
    <t>Change due to customer No.s</t>
  </si>
  <si>
    <t>Change due to cost to serve</t>
  </si>
  <si>
    <t>Summary_Calc</t>
  </si>
  <si>
    <t>Convert from £m to £ per custome</t>
  </si>
  <si>
    <t>Table of bill movements</t>
  </si>
  <si>
    <t>Graph of bill movements</t>
  </si>
  <si>
    <t>GENERAL MODEL DESIGN</t>
  </si>
  <si>
    <t>Calculate the PR14 RCV depreciation with the PR19 run-off rate (weighted average run-off rate for WR and WN)</t>
  </si>
  <si>
    <t>Subtract the impact of the change in run-off rate from the actual change in RCV depreciation to find the change in RCV depreciation due to the change in RCV only</t>
  </si>
  <si>
    <t>Calculate the PR14 RCV depreciation with the PR19 run-off rate (weighted average run-off rate for BR and WWN)</t>
  </si>
  <si>
    <t>Subtract the impact of the change in WACC from the actual change in return on RCV to find the change in return due to the change in RCV only</t>
  </si>
  <si>
    <t>Calculate the PR14 return on RCV with the PR19 WACC (weighted average WACC for WR and WN)</t>
  </si>
  <si>
    <t>Calculate the PR14 return on RCV with the PR19 WACC (weighted average WACC for BR and WWN)</t>
  </si>
  <si>
    <t>Calculate the PR14 PAYG Totex with PR19 PAYG% (weighted average PAYG% for WR and WN)</t>
  </si>
  <si>
    <t>Subtract the impact of the change in PAYG% from the actual change in PAYG Totex to find the change in PAYG totex due to the change in Totex only</t>
  </si>
  <si>
    <t>Calculate the PR14 PAYG Totex with PR19 PAYG% (weighted average PAYG% for BR and WWN)</t>
  </si>
  <si>
    <t>Company Type switch check</t>
  </si>
  <si>
    <t>General</t>
  </si>
  <si>
    <t>SUMMARY OF COMPONENTS CAUSING CHANGE IN BILL</t>
  </si>
  <si>
    <t>DATA FOR BRIDGE CHART</t>
  </si>
  <si>
    <t>Reconciliation</t>
  </si>
  <si>
    <t>Change due to other wholesale items</t>
  </si>
  <si>
    <t>Change due to reconciliations items</t>
  </si>
  <si>
    <t>Change in revenue re-profiling</t>
  </si>
  <si>
    <t>Wholesale water allowed revenue per customer - 2017/18 year average CPIH deflated</t>
  </si>
  <si>
    <t>Wholesale Wastewater allowed revenue per customer - 2017/18 year average CPIH deflated</t>
  </si>
  <si>
    <t>Note: In the PR14 model wholesale prices are indexed but retail prices are not indexed.</t>
  </si>
  <si>
    <t>Deflate the wholesale allowed revenue, then add to the real retail allowed revenue to calculate the combined bill</t>
  </si>
  <si>
    <t>Totex - net of grants and contributions - WWN (post sensi adj) - 2017/18 year average CPIH deflated</t>
  </si>
  <si>
    <t>Wastewater network: PAYG Totex - 2017/18 year average CPIH deflated</t>
  </si>
  <si>
    <t>Totex - net of grants and contributions - BR (post sensi adj) - 2017/18 year average CPIH deflated</t>
  </si>
  <si>
    <t>Bio resources: PAYG Totex - 2017/18 year average CPIH deflated</t>
  </si>
  <si>
    <t>Totex - net of grants and contributions - Wastewater (post sensi adj) - 2017/18 year average CPIH deflated</t>
  </si>
  <si>
    <t>PAYG Totex - wastewater (post sensi adj) - 2017/18 year average CPIH deflated</t>
  </si>
  <si>
    <t>Totex - net of grants and contributions - WR (post sensi adj) - 2017/18 year average CPIH deflated</t>
  </si>
  <si>
    <t>Water Resources: PAYG Totex - 2017/18 year average CPIH deflated</t>
  </si>
  <si>
    <t>Totex - net of grants and contributions - WN (post sensi adj) - 2017/18 year average CPIH deflated</t>
  </si>
  <si>
    <t>Water Network: PAYG Totex - 2017/18 year average CPIH deflated</t>
  </si>
  <si>
    <t>Totex - net of grants and contributions - Water (post sensi adj) - 2017/18 year average CPIH deflated</t>
  </si>
  <si>
    <t>PAYG Totex - Water (post sensi adj) - 2017/18 year average CPIH deflated</t>
  </si>
  <si>
    <t>Total of Other Wholesale Items - 2017/18 year average CPIH deflated</t>
  </si>
  <si>
    <t>Impact of re-profiling of revenue requirement - real - water</t>
  </si>
  <si>
    <t>Impact of re-profiling of revenue requirement - real - wastewater</t>
  </si>
  <si>
    <t>Total of Other Wholesale Items - real</t>
  </si>
  <si>
    <t>Other Wholesale Items - Water - real</t>
  </si>
  <si>
    <t>Other Wholesale Items - Wastewater - real</t>
  </si>
  <si>
    <t>This section calculates the PR14 customer numbers and indexes the allowed revenue</t>
  </si>
  <si>
    <t>Sum the PR14 wholesale reconciliation items (there are no retail reconciliation items for PR14)</t>
  </si>
  <si>
    <t>Change in wholesale reconciliation items</t>
  </si>
  <si>
    <t>Change in average combined bill</t>
  </si>
  <si>
    <t>WHOLESALE: Change in bill due to change in RECONCILIATION ITEMS</t>
  </si>
  <si>
    <t>PR19 wholesale reconciliation items - real</t>
  </si>
  <si>
    <t>PR14 reconciliation items - 2017/18 year average CPIH deflated</t>
  </si>
  <si>
    <t>Sum the PR19 wholesale reconciliation items (the retail SIM adjustment is dealt with on sheet 'Summary_Calc')</t>
  </si>
  <si>
    <t>Item included in the waterfall chart</t>
  </si>
  <si>
    <t>Green border</t>
  </si>
  <si>
    <t>Key</t>
  </si>
  <si>
    <t>ASSUMPTIONS</t>
  </si>
  <si>
    <t>Price Base:</t>
  </si>
  <si>
    <t>Calculations:</t>
  </si>
  <si>
    <t>Sum all 8 wholesale components, £m</t>
  </si>
  <si>
    <t>Multiply this proportion by the Change in Allowed Revenue, £ per customer</t>
  </si>
  <si>
    <t>Calculate the Residential Bill Movement, £ per customer</t>
  </si>
  <si>
    <t>Calculate the Change in Retail Reconciliation Items, £ per customer</t>
  </si>
  <si>
    <t>Calculate the Change in Customer Numbers, £ per customer</t>
  </si>
  <si>
    <t>Goto calculation</t>
  </si>
  <si>
    <t>The price base for the model is 2017/18 year average CPIH deflated</t>
  </si>
  <si>
    <t>2019/20 inputs from the PR14 model are real</t>
  </si>
  <si>
    <t>All inputs are indexed to the model price base</t>
  </si>
  <si>
    <t>Click on boxes with coloured backgrounds to go to the calculations</t>
  </si>
  <si>
    <t>2024/25 inputs from the PR19 model can be real or nominal (they are labelled)</t>
  </si>
  <si>
    <t>&gt;&gt;&gt;</t>
  </si>
  <si>
    <t>For each individual wholesale component calculate its proportion of the sum, £m</t>
  </si>
  <si>
    <t>Calculate the Change in Retail Cost To Serve, £ per customer</t>
  </si>
  <si>
    <t>Change due to changes in the components of wholesale allowed revenue (per customer)</t>
  </si>
  <si>
    <t>Wholesale components have been calculated as £m, apportion them to get £ per customer</t>
  </si>
  <si>
    <t>wholesale allowed revenue</t>
  </si>
  <si>
    <t>customer numbers</t>
  </si>
  <si>
    <t>Calculate the Change in Allowed Revenue, £ per customer, as follows:</t>
  </si>
  <si>
    <t>Calculate the change in the bill due to the change in customers numbers and household apportionment, £ per customer, as follows:</t>
  </si>
  <si>
    <t>Calculate the PR19 total households as a % of the PR14 total households</t>
  </si>
  <si>
    <t xml:space="preserve">Calculate the PR19 household apportionment as a % of the PR14 household apportionment </t>
  </si>
  <si>
    <t>The change due to customer numbers is ( (wholesale allowed revenue * line 2 / line 1) - wholesale allowed revenue)</t>
  </si>
  <si>
    <t>Do this separately for water and wastewater and then sum the two values</t>
  </si>
  <si>
    <t>Structure of a residential bill</t>
  </si>
  <si>
    <t>CALCULATIONS</t>
  </si>
  <si>
    <t>wholesale components, £/cust</t>
  </si>
  <si>
    <t>wholesale components, £m</t>
  </si>
  <si>
    <t>The wholesale components are initially calculated in £m as described above.</t>
  </si>
  <si>
    <t>The method for calculating the wholesale components in £ per customer is as follows:</t>
  </si>
  <si>
    <t>In the PR14 model retail prices were not indexed (real = nominal)</t>
  </si>
  <si>
    <t>In the PR19 model retail prices are indexed</t>
  </si>
  <si>
    <t>a</t>
  </si>
  <si>
    <t>&gt;</t>
  </si>
  <si>
    <t>Calculate the change in PAYG Totex  = (PR19 PAYG Totex - PR14 PAYG Totex)</t>
  </si>
  <si>
    <t>Calculate the PR14 PAYG Totex using the PR19 PAYG% = (PR14 Totex * PR19 PAYG%)</t>
  </si>
  <si>
    <t>b</t>
  </si>
  <si>
    <t>c</t>
  </si>
  <si>
    <t>d</t>
  </si>
  <si>
    <t>Calculate the change in PAYG Totex due to change in PAYG% = (line b - PR14 PAYG Totex)</t>
  </si>
  <si>
    <t>Calculate the change in PAYG Totex due to change in Totex = (line a - line c)</t>
  </si>
  <si>
    <t>In the PR14 model 'real' means 2012/13 FYA RPI deflated</t>
  </si>
  <si>
    <t>In the PR19 model 'real' means 2017/18 FYA CPIH deflated</t>
  </si>
  <si>
    <t>All items on the waterfall chart are in £ per customer.</t>
  </si>
  <si>
    <t>Wholesale reconciliation items are simply calculated by subtracting the sum of PR19 items from the sum of PR14 items.</t>
  </si>
  <si>
    <t>PR19 retail reconciliation items are input as £ per customer and added when the wholesale items are converted to £ per customer (see later).</t>
  </si>
  <si>
    <t>Other wholesale items are simply calculated by subtracting the sum of PR19 items from the sum of PR14 items.</t>
  </si>
  <si>
    <t>2017/18 year average CPIH deflated</t>
  </si>
  <si>
    <t>Totex - 2017/18 year average CPIH deflated - Wastewater</t>
  </si>
  <si>
    <t>PAYG Totex - 2017/18 year average CPIH deflated - Wastewater</t>
  </si>
  <si>
    <t>Revenue requirement with impact of reprofiling excl. tax charge - WR - 2017/18 year average CPIH deflated</t>
  </si>
  <si>
    <t>Revenue requirement with impact of reprofiling excl. tax charge - WN - 2017/18 year average CPIH deflated</t>
  </si>
  <si>
    <t>Revenue requirement with impact of reprofiling excl. tax charge - WWN - 2017/18 year average CPIH deflated</t>
  </si>
  <si>
    <t>Revenue requirement with impact of reprofiling excl. tax charge - BR - 2017/18 year average CPIH deflated</t>
  </si>
  <si>
    <t>Total revenue requirement - water - 2017/18 year average CPIH deflated</t>
  </si>
  <si>
    <t>Total revenue requirement - wastewater - 2017/18 year average CPIH deflated</t>
  </si>
  <si>
    <t>Totex - 2017/18 year average CPIH deflated - Water</t>
  </si>
  <si>
    <t>PAYG Totex - 2017/18 year average CPIH deflated - Water</t>
  </si>
  <si>
    <t>Non-PAYG Totex depreciation - 2017/18 year average CPIH deflated - Water</t>
  </si>
  <si>
    <t>RCV - 201718 year average CPIH deflated - Water</t>
  </si>
  <si>
    <t>RCV depreciation - 201718 year average CPIH deflated - Water</t>
  </si>
  <si>
    <t>RCV CPIH BEG plus indexation - WR - 2017/18 year average CPIH deflated</t>
  </si>
  <si>
    <t>RCV CPIH depreciation - WR - 2017/18 year average CPIH deflated</t>
  </si>
  <si>
    <t>RCV CPIH + RPI wedge BEG plus indexation - WR - 2017/18 year average CPIH deflated</t>
  </si>
  <si>
    <t>RCV CPIH + RPI wedge depreciation - WR - 2017/18 year average CPIH deflated</t>
  </si>
  <si>
    <t>Water resources: Non-PAYG Totex - 2017/18 year average CPIH deflated</t>
  </si>
  <si>
    <t>Non-PAYG Totex depreciated in year of acquisition - 2017/18 year average CPIH deflated - WR</t>
  </si>
  <si>
    <t>RCV post 2020 additions depreciation -  2017/18 year average CPIH deflated -WR</t>
  </si>
  <si>
    <t>RCV post 2020 additions plus indexation - WR - 2017/18 year average CPIH deflated</t>
  </si>
  <si>
    <t>RCV post 2020 additions plus indexation depreciation - WR - 2017/18 year average CPIH deflated</t>
  </si>
  <si>
    <t>RCV CPIH BEG plus indexation - WN - 2017/18 year average CPIH deflated</t>
  </si>
  <si>
    <t>PR19 RCV CPIH + RPI wedge depreciation - WN - 2017/18 year average CPIH deflated</t>
  </si>
  <si>
    <t>RCV CPIH + RPI wedge BEG plus indexation - WN - 2017/18 year average CPIH deflated</t>
  </si>
  <si>
    <t>Water network: Non-PAYG Totex - 2017/18 year average CPIH deflated</t>
  </si>
  <si>
    <t>Non-PAYG Totex depreciated in year of acquisition - 2017/18 year average CPIH deflated - WN</t>
  </si>
  <si>
    <t>RCV post 2020 additions depreciation - 2017/18 year average CPIH deflated - WN</t>
  </si>
  <si>
    <t>RCV post 2020 additions - WN - 2017/18 year average CPIH deflated</t>
  </si>
  <si>
    <t>RCV post 2020 additions plus indexation depreciation - WN - 2017/18 year average CPIH deflated</t>
  </si>
  <si>
    <t>Non-PAYG Totex - 201718 year average CPIH deflated - Wastewater</t>
  </si>
  <si>
    <t>Non-PAYG Totex depreciation - 2017/18 year average CPIH deflated - Wastewater</t>
  </si>
  <si>
    <t>RCV - 201718 year average CPIH deflated - Wastewater</t>
  </si>
  <si>
    <t>RCV depreciation - 201718 year average CPIH deflated - Wastewater</t>
  </si>
  <si>
    <t>RCV CPIH BEG plus indexation - WWN - 2017/18 year average CPIH deflated</t>
  </si>
  <si>
    <t>RCV CPIH depreciation - WWN - 2017/18 year average CPIH deflated</t>
  </si>
  <si>
    <t>RCV CPIH + RPI wedge BEG plus indexation - WWN - 2017/18 year average CPIH deflated</t>
  </si>
  <si>
    <t>RCV CPIH + RPI wedge depreciation - WWN - 2017/18 year average CPIH deflated</t>
  </si>
  <si>
    <t>Wastewater network: Non-PAYG Totex - 2017/18 year average CPIH deflated</t>
  </si>
  <si>
    <t>Non-PAYG Totex depreciated in year of acquisition - 2017/18 year average CPIH deflated - WWN</t>
  </si>
  <si>
    <t>RCV post 2020 additions depreciation - 2017/18 year average CPIH deflated - WWN</t>
  </si>
  <si>
    <t>RCV post 2020 additions plus indexation - WWN - 2017/18 year average CPIH deflated</t>
  </si>
  <si>
    <t>RCV post 2020 additions plus indexation depreciation - WWN - 2017/18 year average CPIH deflated</t>
  </si>
  <si>
    <t>RCV CPIH BEG plus indexation - BR - 2017/18 year average CPIH deflated</t>
  </si>
  <si>
    <t>RCV CPIH depreciation - BR - 2017/18 year average CPIH deflated</t>
  </si>
  <si>
    <t>RCV CPIH + RPI wedge BEG plus indexation - BR - 2017/18 year average CPIH deflated</t>
  </si>
  <si>
    <t>RCV CPIH + RPI wedge depreciation - BR - 2017/18 year average CPIH deflated</t>
  </si>
  <si>
    <t>Bio resources: Non-PAYG Totex - 2017/18 year average CPIH deflated</t>
  </si>
  <si>
    <t>Indexation of RCV additions b/f - BR - 2017/18 year average CPIH deflated</t>
  </si>
  <si>
    <t>Non-PAYG Totex depreciated in year of acquisition - 2017/18 year average CPIH deflated - BR</t>
  </si>
  <si>
    <t>RCV post 2020 additions plus indexation - BR - 2017/18 year average CPIH deflated</t>
  </si>
  <si>
    <t>RCV post 2020 additions plus indexation depreciation - BR - 2017/18 year average CPIH deflated</t>
  </si>
  <si>
    <t>Total RCV - 201718 year average CPIH deflated - Water</t>
  </si>
  <si>
    <t>Total Return on RCV - 201718 year average CPIH deflated - Water</t>
  </si>
  <si>
    <t>Total RCV - 2017/18 year average CPIH deflated - Water</t>
  </si>
  <si>
    <t xml:space="preserve">Return on RCV - 2017/18 year average CPIH deflated - Water </t>
  </si>
  <si>
    <t>Total RCV - 201718 year average CPIH deflated - Wastewater</t>
  </si>
  <si>
    <t>Total return on RCV - 201718 year average CPIH deflated - Wastewater</t>
  </si>
  <si>
    <t>Total RCV - 2017/18 year average CPIH deflated - Wastewater</t>
  </si>
  <si>
    <t xml:space="preserve">Return on RCV - 2017/18 year average CPIH deflated - Wastewater </t>
  </si>
  <si>
    <t>Price base is 2017/18 year average CPIH deflated</t>
  </si>
  <si>
    <t>On the InpC sheet change cell F34 to either WaSC or WoC, as appropriate. The current value is shown below, folow the link below to change it.</t>
  </si>
  <si>
    <t>* Ofwat calculates the return on RCV using a real WACC. Ofwat used a WACC expressed in real RPI terms for PR14 returns, while it is using a WACC expressed in real CPIH terms for PR19 calculations.</t>
  </si>
  <si>
    <t>The use of the real CPIH terms WACC reduces the fall in bills at PR19 from lowering the nominal WACC. This is because the real CPIH terms WACC is around one percent higher than the WACC expressed in real RPI terms.</t>
  </si>
  <si>
    <t>The waterfall chart reads the axes extents from this block</t>
  </si>
  <si>
    <t>Axis</t>
  </si>
  <si>
    <t>Y</t>
  </si>
  <si>
    <t>Tick</t>
  </si>
  <si>
    <t>[Do not insert rows or columns anywhere on this sheet]</t>
  </si>
  <si>
    <t>X</t>
  </si>
  <si>
    <t>Change in Run-off rate (per customer)</t>
  </si>
  <si>
    <t>Change in Return on RCV due to change in RCV (per customer)</t>
  </si>
  <si>
    <t>Change in Other wholesale items (per customer)</t>
  </si>
  <si>
    <t>Change in Wholesale reconciliations items (per customer)</t>
  </si>
  <si>
    <t>Rounding</t>
  </si>
  <si>
    <t>Definition</t>
  </si>
  <si>
    <t>Change in customer bill due to a change in retail CTS with all other components held constant</t>
  </si>
  <si>
    <t>Change in customer bill due to a change in any other wholesale item with all other components held constant</t>
  </si>
  <si>
    <t>Title of component displayed on chart</t>
  </si>
  <si>
    <t>Change in customer bill due to a change in any reconciliation items with all other components held constant</t>
  </si>
  <si>
    <t>pr19@ofwat.gsi.gov.uk</t>
  </si>
  <si>
    <t>Change in customer bill due to a change in PAYG Totex caused by changing the Totex with all other components held constant.</t>
  </si>
  <si>
    <t>Change in customer bill due to a change in PAYG Totex caused by changing the PAYG% with all other components held constant.</t>
  </si>
  <si>
    <t>Change in customer bill due to a change in RCV depreciation caused by changing the RCV run-off rate with all other components held constant.</t>
  </si>
  <si>
    <t>Change in customer bill due to a change in the return on RCV caused by changing the WACC with all other components held constant.</t>
  </si>
  <si>
    <t>a&gt; Calculate the change in RCV depreciation  = (PR19 RCV depreciation - PR14 RCV depreciation)
b&gt; Calculate the PR14 RCV depreciation using the PR19 RCV run-off rate = (PR14 Total RCV * PR19 RCV run-off rate)
c&gt; Calculate the change in RCV depreciation due to change in RCV run-off rate = (line b - PR14 RCV depreciation)
d&gt; Calculate the change in RCV depreciation due to change in RCV = (line a - line c)
e&gt; Repeat for return on RCV and sum.</t>
  </si>
  <si>
    <t>a&gt; Calculate the change in PAYG Totex  = (PR19 PAYG Totex - PR14 PAYG Totex)
b&gt; Calculate the PR14 PAYG Totex using the PR19 PAYG% = (PR14 Totex * PR19 PAYG%)
c&gt; Calculate the change in PAYG Totex due to change in PAYG% = (line b - PR14 PAYG Totex)
d&gt; Calculate the change in PAYG Totex due to change in Totex = (line a - line c)</t>
  </si>
  <si>
    <t>a&gt; Calculate the change in PAYG Totex  = (PR19 PAYG Totex - PR14 PAYG Totex)
b&gt; Calculate the PR14 PAYG Totex using the PR19 PAYG% = (PR14 Totex * PR19 PAYG%)
c&gt; Calculate the change in PAYG Totex due to change in PAYG% = (line b - PR14 PAYG Totex)</t>
  </si>
  <si>
    <t>a&gt; Calculate the change in RCV depreciation  = (PR19 RCV depreciation - PR14 RCV depreciation)
b&gt; Calculate the PR14 RCV depreciation using the PR19 RCV run-off rate = (PR14 Total RCV * PR19 RCV run-off rate)
c&gt; Calculate the change in RCV depreciation due to change in RCV run-off rate = (line b - PR14 RCV depreciation)</t>
  </si>
  <si>
    <t>a&gt; Calculate the change in return on RCV = (PR19 return on RCV - PR14 return on RCV)
b&gt; Calculate the PR14 return on RCV using the PR19 WACC = (PR14 Total return on RCV * PR19 WACC)
c&gt; Calculate the change in return on RCV due to change in WACC = (line b - PR14 return on RCV)</t>
  </si>
  <si>
    <t>a&gt; Calculate the PR19 households as a percentage of the PR14 households
b&gt; Calculate the PR19 apportionment as a percentage of the PR14 apportionment
c&gt; Divide apportionment by households (b divided by a) to find the percentage change in allowed revenue</t>
  </si>
  <si>
    <t>Model Design</t>
  </si>
  <si>
    <t>Flow chart, model assumptions and key calculations</t>
  </si>
  <si>
    <t>The PR19 impact of reprofiling is directly input whereas the PR14 impact of reprofiling needs to be calculated.</t>
  </si>
  <si>
    <t>The other 6 wholesale components (run-off rate/RCV, WACC/RCV, PAYG%/totex) are all calculated using the method below for PAYG Totex:</t>
  </si>
  <si>
    <t>Subtract the PR19 reconciliation items from the PR14 reconciliation items to find the change in reconciliation items.</t>
  </si>
  <si>
    <t>Sum the single service allowed revenue for both PR14 and PR19 to get the joint service allowed revenue. Do not index since in the PR14 model wholesale prices are indexed but retail prices are not indexed. Subtract the PR19 value from the PR14 value to find the change in retail allowed revenue.</t>
  </si>
  <si>
    <t>PR19 RCV CPIH depreciation - WN - 2017/18 year average CPIH deflated</t>
  </si>
  <si>
    <t>Merged Companies</t>
  </si>
  <si>
    <t>Adjustment from 2012/13 year average RPI to 2017/18 year average CPIH deflated</t>
  </si>
  <si>
    <t>Sum of wholesale items after apportionment equals change in customer bill less retail items</t>
  </si>
  <si>
    <t>Calculated in financial model and input to this model</t>
  </si>
  <si>
    <t>Light blue</t>
  </si>
  <si>
    <t>Grey</t>
  </si>
  <si>
    <t>Change in customer bill due to a change in RCV depreciation and return on RCV caused by changing the RCV with all other components held constant.</t>
  </si>
  <si>
    <t>Change in customer bill due to a change in customer numbers and/or residential apportionment with all other components held constant.</t>
  </si>
  <si>
    <t>Change in 5th control</t>
  </si>
  <si>
    <t>There was no 5th control at PR14. If there is a 5th control at PR19 this will cause a rise in the bill.</t>
  </si>
  <si>
    <t xml:space="preserve">The PR19 5th control allowed revenue. </t>
  </si>
  <si>
    <t>Definitions:</t>
  </si>
  <si>
    <t>Override</t>
  </si>
  <si>
    <t>Active Value</t>
  </si>
  <si>
    <t>Linked Value</t>
  </si>
  <si>
    <t>Override column</t>
  </si>
  <si>
    <t>The model draws inputs automatically for a single PR14 model and a single PR19 model. For companies that have merged since PR14 the model will not draw inputs automatically from multiple PR14 models. Merged companies will need to calculate appropriate PR14 values outside of this model and then enter them in the Override column on the InpAct sheet.</t>
  </si>
  <si>
    <t>*************************************************************************************************************************************************************************************************************************************************************</t>
  </si>
  <si>
    <t>Non-depreciated adjustment to RCV</t>
  </si>
  <si>
    <t>RCV additions BEG plus Indexation depreciation - 2017/18 year average CPIH deflated - WN</t>
  </si>
  <si>
    <t>RCV additions BEG plus Indexation - WN - 2017/18 year average CPIH deflated</t>
  </si>
  <si>
    <t>RCV additions BEG plus Indexation  - WWN - 2017/18 year average CPIH deflated</t>
  </si>
  <si>
    <t>RCV additions BEG plus Indexation depreciation - 2017/18 year average CPIH deflated - WWN</t>
  </si>
  <si>
    <t>RCV additions BEG plus Indexation - WR - 2017/18 year average CPIH deflated</t>
  </si>
  <si>
    <t>RCV additions plus Indexation depreciation -  2017/18 year average CPIH deflated - WR</t>
  </si>
  <si>
    <t>CPI(H): Fin year average - inflate from base year 2017-18 average</t>
  </si>
  <si>
    <t>factor</t>
  </si>
  <si>
    <t>index</t>
  </si>
  <si>
    <t>CPIH deflate from 2020 FYE to 2018 FYA</t>
  </si>
  <si>
    <t>RPI inflate from 2013 FYA to 2020 FYE</t>
  </si>
  <si>
    <t>Inflation from 2013 FYA to 2020 FYE - RPI</t>
  </si>
  <si>
    <t>Deflation from 2020 FYE to 2018 FYA - CPIH</t>
  </si>
  <si>
    <t>RPI: March 2020</t>
  </si>
  <si>
    <t>CPIH: March 2020</t>
  </si>
  <si>
    <t>CPIH: Financial year average 2017/18</t>
  </si>
  <si>
    <t>RPI: Financial year average 2012/13</t>
  </si>
  <si>
    <t>for info only</t>
  </si>
  <si>
    <t>Non-PAYG Totex depreciated in year of acquisition - Water</t>
  </si>
  <si>
    <t>Non-PAYG Totex balance BEG - real</t>
  </si>
  <si>
    <t>Non-PAYG Totex depreciated in year of acquisition - Wastewater</t>
  </si>
  <si>
    <t>for info</t>
  </si>
  <si>
    <t>Impact of re-profiling of allowed revenue - WR - real</t>
  </si>
  <si>
    <t>Impact of re-profiling of allowed revenue - WN - real</t>
  </si>
  <si>
    <t>Impact of re-profiling of allowed revenue - WWN - real</t>
  </si>
  <si>
    <t>Impact of re-profiling of allowed revenue - BR - real</t>
  </si>
  <si>
    <t>Impact of re-profiling of allowed revenue - real</t>
  </si>
  <si>
    <t>Wholesale dummy control allowed revenue  - real</t>
  </si>
  <si>
    <t>£/cust</t>
  </si>
  <si>
    <t>Thames Tideway only</t>
  </si>
  <si>
    <t>Thames Tideway only: value in £/customer to be input</t>
  </si>
  <si>
    <t>Change in wholesale dummy control allowed revenue</t>
  </si>
  <si>
    <t>*********** Calculate the change in the bill due to all other wholesale components, £ per customer ************************************************************************************************************************************</t>
  </si>
  <si>
    <t>This is the model referred to in Table 2.1 of the 'Company business plan presentation pro-forma'</t>
  </si>
  <si>
    <t>Follow link to pro-forma &gt;&gt;</t>
  </si>
  <si>
    <t>https://www.ofwat.gov.uk/publication/company-business-plan-presentation-pro-forma/</t>
  </si>
  <si>
    <t>Calculate the PR14 impact of reprofiling and add to the other PR14 wholesale items. Subtract the PR19 wholesale items to find the change in other wholesale items.</t>
  </si>
  <si>
    <t>Calculate the Change in wholesale dummy control allowed revenue</t>
  </si>
  <si>
    <t>The Change in Allowed Revenue is (line 1 - (line 2 + line 3 + line 4 + line 5) )</t>
  </si>
  <si>
    <t>These are listed below:</t>
  </si>
  <si>
    <t>Change log:</t>
  </si>
  <si>
    <t>Change</t>
  </si>
  <si>
    <t>Wastewater Network RCV addditions excluded from total</t>
  </si>
  <si>
    <t>The formula to sum the RCV additions plus indexation and then index to 2017/18 FYA CPIH deflated only picked up the RCV additions indexation. The RCV additions beginning balance was missing from the sum.</t>
  </si>
  <si>
    <t>WWN RCV additions plus indexation</t>
  </si>
  <si>
    <t>Bioresources RCV addditions excluded from total</t>
  </si>
  <si>
    <t>BR RCV additions plus indexation</t>
  </si>
  <si>
    <t>Wastewater asset life linked to water asset life</t>
  </si>
  <si>
    <t>The 'RCV Additions: Average Asset Life' for wastewater was linked to the average assset life for water on the InpActive sheet.</t>
  </si>
  <si>
    <t>RCV Additions: Average Asset Life - Wastewater</t>
  </si>
  <si>
    <t>Residential retail revenue adjustment per customer - real</t>
  </si>
  <si>
    <t>Updates to the financial model (FM) have caused lines in the FM to moe, so the waterfall model has had to be re-linked to the PR19 model.</t>
  </si>
  <si>
    <t>Residential retail revenue adjustment was double-counted since it was included as a separate item but is already included in the calculation of retail CTS. To correct the double-counting this was initially overridden with a zero on the InpAct sheet. This bug has now been fixed by removing Residential Retail Revenue Adjustment from the InpActive sheet and deleting it from the calculation of the change in the bill due to all other wholesale components (block starting on line 39 on SummaryCalc).</t>
  </si>
  <si>
    <t>Re-linked to model 16t</t>
  </si>
  <si>
    <t>Wholesale Wastewater allowed revenue per customer - 2017/18 year average CPIH deflated - TTT only (2012/13 prices)</t>
  </si>
  <si>
    <t>Wholesale Wastewater allowed revenue per customer - 2017/18 year average CPIH deflated - excl TTT (2012/13 prices)</t>
  </si>
  <si>
    <t>Wholesale Wastewater allowed revenue per customer - 2017/18 year average CPIH deflated - TTT only (2017/18 CPIH prices)</t>
  </si>
  <si>
    <t>Wholesale Wastewater allowed revenue per customer - 2017/18 year average CPIH deflated - excl TTT (2017/18 CPIH prices)</t>
  </si>
  <si>
    <t>Change in wholesale wastewater allowed revenue per customer due to change in customer numbers and apportionment - TTT only</t>
  </si>
  <si>
    <t>Change in wholesale wastewater allowed revenue per customer due to change in customer numbers and apportionment - excl TTT</t>
  </si>
  <si>
    <t>Change in wholesale wastewater allowed revenue per customer due to change in customer numbers and apportionment - Total incl TTT</t>
  </si>
  <si>
    <t>PR14 TTT bill analysis</t>
  </si>
  <si>
    <t>Extract from PR14 TMS TTT IP financial model (2012/13 prices)</t>
  </si>
  <si>
    <t>Wholesale Wastewater allowed revenue per customer excluding capital connection charges, other income and operating income</t>
  </si>
  <si>
    <t>Exec summary N29</t>
  </si>
  <si>
    <t>Retail allowed revenue per customer: single service</t>
  </si>
  <si>
    <t>Exec summary N32</t>
  </si>
  <si>
    <t>Total Wastewater single service bill, including TTT (TWUL and IP)</t>
  </si>
  <si>
    <t>Extract from PR14 TMS financial model (2012/13 prices)</t>
  </si>
  <si>
    <t>Delta (2012/13 prices)</t>
  </si>
  <si>
    <t>TTT price control, including TTT revenue pass-through to IP</t>
  </si>
  <si>
    <t>Included in Retail delta</t>
  </si>
  <si>
    <t>Wholesale Wastewater allowed revenue per customer excluding capital connection charges, other income and operating income (2017/18 CPIH prices)</t>
  </si>
  <si>
    <t>Exclude element relating to customer numbers</t>
  </si>
  <si>
    <t>Wholesale Wastewater allowed revenue per customer excluding capital connection charges, other income and operating income, excluding customer number change (2017/18 CPIH prices)</t>
  </si>
  <si>
    <t>Operating income</t>
  </si>
  <si>
    <t>Linked to PR14 model</t>
  </si>
  <si>
    <t>Input data excluding TTT</t>
  </si>
  <si>
    <t>Totex - real - Wastewater</t>
  </si>
  <si>
    <t>RCV as at 2015 - real - Wastewater</t>
  </si>
  <si>
    <t>Depreciation of 2015 RCV - real - wastewater</t>
  </si>
  <si>
    <t>RCV Additions: Average Asset Life (to 1dp) - Wastewater</t>
  </si>
  <si>
    <t>Non-PAYG Totex in year additions - real</t>
  </si>
  <si>
    <t>Non-PAYG Totex - real</t>
  </si>
  <si>
    <t>Average 2015 RCV - real - Wastewater</t>
  </si>
  <si>
    <t>Return on 2015 RCV Bf - real - Wastewater</t>
  </si>
  <si>
    <t>Average RCV; post 2015 additions - real - Wastewater</t>
  </si>
  <si>
    <t>Return on RCV Additions - real - Wastewater</t>
  </si>
  <si>
    <t>Totex menu additional income (+ or -) - real - Wastewater</t>
  </si>
  <si>
    <t>Other adjustments (+ or -) Value Chosen - real - Wastewater</t>
  </si>
  <si>
    <t>Alternative calculation of bill impact</t>
  </si>
  <si>
    <t>Revenue changes - Total</t>
  </si>
  <si>
    <t>Revenue changes - Water</t>
  </si>
  <si>
    <t>Revenue changes - Wastewater</t>
  </si>
  <si>
    <t>Revenue changes - Check</t>
  </si>
  <si>
    <t>Factor to convert revenue into bills - Water</t>
  </si>
  <si>
    <t>Factor to convert revenue into bills - Wastewater</t>
  </si>
  <si>
    <t>Bill changes - Water</t>
  </si>
  <si>
    <t>Bill changes - Wastewater</t>
  </si>
  <si>
    <t>Bill changes - Total</t>
  </si>
  <si>
    <t>Thames Water added switches</t>
  </si>
  <si>
    <t>Switch to include some inputs from excl TTT PR14 model</t>
  </si>
  <si>
    <t>Switch to 1 to use alternative calculation</t>
  </si>
  <si>
    <t>Switch to include 'Operating income' within Other wholesale items</t>
  </si>
  <si>
    <t>Switch to use bottom-up bill driver calculation, rather than revenue allocation</t>
  </si>
  <si>
    <t>Waste</t>
  </si>
  <si>
    <t>Combined</t>
  </si>
  <si>
    <t>Combined residential retail bill data</t>
  </si>
  <si>
    <t>Retail allowed revenue per customer: joint service - real: Summary_Calc row 1121</t>
  </si>
  <si>
    <t>Retail allowed revenue per customer: joint service - bill module - real: Summary Calc 1176</t>
  </si>
  <si>
    <t>Delta</t>
  </si>
  <si>
    <t>Switch to exclude bill module approach to residential retail bill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</si>
</sst>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3" formatCode="_-* #,##0.00_-;\-* #,##0.00_-;_-* &quot;-&quot;??_-;_-@_-"/>
    <numFmt numFmtId="164" formatCode="#,##0_);\(#,##0\);&quot;-  &quot;;&quot; &quot;@&quot; &quot;"/>
    <numFmt numFmtId="165" formatCode="dd\ mmm\ yy_);\(###0\);&quot;-  &quot;;&quot; &quot;@&quot; &quot;"/>
    <numFmt numFmtId="166" formatCode="#,##0.000_);\(#,##0.000\);&quot;-  &quot;;&quot; &quot;@&quot; &quot;"/>
    <numFmt numFmtId="167" formatCode="#,##0.0000_);\(#,##0.0000\);&quot;-  &quot;;&quot; &quot;@&quot; &quot;"/>
    <numFmt numFmtId="168" formatCode="0.00%_);\-0.00%_);&quot;-  &quot;;&quot; &quot;@&quot; &quot;"/>
    <numFmt numFmtId="169" formatCode="#,##0.00_);\(#,##0.00\);&quot;-  &quot;;&quot; &quot;@&quot; &quot;"/>
    <numFmt numFmtId="170" formatCode="###0_);\(###0\);&quot;-  &quot;;&quot; &quot;@&quot; &quot;"/>
    <numFmt numFmtId="171" formatCode="dd\ mmm\ yyyy_);\(###0\);&quot;-  &quot;;&quot; &quot;@&quot; &quot;"/>
    <numFmt numFmtId="172" formatCode="#,##0_);\(#,##0\);&quot;-  &quot;;&quot; &quot;@"/>
    <numFmt numFmtId="173" formatCode="#,##0.0_);\(#,##0.0\);&quot;-  &quot;;&quot; &quot;@&quot; &quot;"/>
    <numFmt numFmtId="174" formatCode="_(* #,##0_);_(* \(#,##0\);_(* &quot;-&quot;??_);_(@_)"/>
    <numFmt numFmtId="175" formatCode="dd\ mmm\ yy_);;&quot;-  &quot;;&quot; &quot;@"/>
    <numFmt numFmtId="176" formatCode="0.00%_);\-0.00%_);&quot;-  &quot;;&quot; &quot;@"/>
    <numFmt numFmtId="177" formatCode="dd/mmm/yy_);;&quot;-  &quot;;&quot; &quot;@"/>
    <numFmt numFmtId="178" formatCode="[$-F400]h:mm:ss\ AM/PM"/>
    <numFmt numFmtId="179" formatCode="[$-14009]hh:mm:ss;@"/>
    <numFmt numFmtId="180" formatCode="#,##0.000000_);\(#,##0.000000\);&quot;-  &quot;;&quot; &quot;@&quot; &quot;"/>
    <numFmt numFmtId="181" formatCode="###0_);\(#,##0\);&quot;-  &quot;;&quot; &quot;@"/>
    <numFmt numFmtId="182" formatCode="0%_);\-0%_);&quot;-  &quot;;&quot; &quot;@&quot; &quot;"/>
    <numFmt numFmtId="183" formatCode="#,##0.0000000000_);\(#,##0.0000000000\);&quot;-  &quot;;&quot; &quot;@&quot; &quot;"/>
  </numFmts>
  <fonts count="95">
    <font>
      <sz val="11"/>
      <color theme="1"/>
      <name val="Calibri"/>
      <family val="2"/>
      <scheme val="minor"/>
    </font>
    <font>
      <sz val="11"/>
      <name val="Arial"/>
      <family val="2"/>
    </font>
    <font>
      <sz val="11"/>
      <color theme="1"/>
      <name val="Arial"/>
      <family val="2"/>
    </font>
    <font>
      <sz val="11"/>
      <name val="Arial"/>
      <family val="2"/>
    </font>
    <font>
      <sz val="11"/>
      <name val="Arial"/>
      <family val="2"/>
    </font>
    <font>
      <sz val="11"/>
      <color theme="1"/>
      <name val="Arial"/>
      <family val="2"/>
    </font>
    <font>
      <sz val="11"/>
      <name val="Arial"/>
      <family val="2"/>
    </font>
    <font>
      <sz val="11"/>
      <name val="Arial"/>
      <family val="2"/>
    </font>
    <font>
      <sz val="11"/>
      <color theme="1"/>
      <name val="Arial"/>
      <family val="2"/>
    </font>
    <font>
      <sz val="11"/>
      <color theme="1"/>
      <name val="Arial"/>
      <family val="2"/>
    </font>
    <font>
      <sz val="10"/>
      <name val="Arial"/>
      <family val="2"/>
    </font>
    <font>
      <b/>
      <sz val="20"/>
      <name val="Arial"/>
      <family val="2"/>
    </font>
    <font>
      <u/>
      <sz val="20"/>
      <name val="Arial"/>
      <family val="2"/>
    </font>
    <font>
      <sz val="20"/>
      <name val="Arial"/>
      <family val="2"/>
    </font>
    <font>
      <b/>
      <sz val="10"/>
      <name val="Arial"/>
      <family val="2"/>
    </font>
    <font>
      <b/>
      <sz val="16"/>
      <color rgb="FF0000FF"/>
      <name val="Arial"/>
      <family val="2"/>
    </font>
    <font>
      <u/>
      <sz val="10"/>
      <name val="Arial"/>
      <family val="2"/>
    </font>
    <font>
      <sz val="10"/>
      <name val="Arial"/>
      <family val="2"/>
    </font>
    <font>
      <i/>
      <sz val="10"/>
      <name val="Arial"/>
      <family val="2"/>
    </font>
    <font>
      <b/>
      <sz val="11"/>
      <name val="Arial"/>
      <family val="2"/>
    </font>
    <font>
      <sz val="11"/>
      <name val="Arial"/>
      <family val="2"/>
    </font>
    <font>
      <sz val="10"/>
      <color rgb="FF0000FF"/>
      <name val="Arial"/>
      <family val="2"/>
    </font>
    <font>
      <sz val="10"/>
      <color rgb="FF000000"/>
      <name val="Arial"/>
      <family val="2"/>
    </font>
    <font>
      <sz val="10"/>
      <color rgb="FFFF0000"/>
      <name val="Arial"/>
      <family val="2"/>
    </font>
    <font>
      <b/>
      <sz val="10"/>
      <color rgb="FF0000FF"/>
      <name val="Arial"/>
      <family val="2"/>
    </font>
    <font>
      <b/>
      <sz val="10"/>
      <color rgb="FF000000"/>
      <name val="Arial"/>
      <family val="2"/>
    </font>
    <font>
      <b/>
      <sz val="10"/>
      <color rgb="FFFF0000"/>
      <name val="Arial"/>
      <family val="2"/>
    </font>
    <font>
      <u/>
      <sz val="10"/>
      <color rgb="FFFF0000"/>
      <name val="Arial"/>
      <family val="2"/>
    </font>
    <font>
      <b/>
      <sz val="10"/>
      <color theme="1"/>
      <name val="Arial"/>
      <family val="2"/>
    </font>
    <font>
      <b/>
      <sz val="10"/>
      <color theme="1"/>
      <name val="+mj-lt"/>
    </font>
    <font>
      <u/>
      <sz val="10"/>
      <color rgb="FF0000FF"/>
      <name val="Arial"/>
      <family val="2"/>
    </font>
    <font>
      <sz val="10"/>
      <color indexed="12"/>
      <name val="Arial"/>
      <family val="2"/>
    </font>
    <font>
      <sz val="11"/>
      <color theme="1"/>
      <name val="Calibri"/>
      <family val="2"/>
      <scheme val="minor"/>
    </font>
    <font>
      <sz val="10"/>
      <color theme="1"/>
      <name val="Arial"/>
      <family val="2"/>
    </font>
    <font>
      <sz val="10"/>
      <color rgb="FF333333"/>
      <name val="Arial"/>
      <family val="2"/>
    </font>
    <font>
      <sz val="11"/>
      <color rgb="FF0000FF"/>
      <name val="Calibri"/>
      <family val="2"/>
      <scheme val="minor"/>
    </font>
    <font>
      <sz val="11"/>
      <color rgb="FFFF0000"/>
      <name val="Calibri"/>
      <family val="2"/>
      <scheme val="minor"/>
    </font>
    <font>
      <sz val="11"/>
      <color rgb="FF000000"/>
      <name val="Calibri"/>
      <family val="2"/>
      <scheme val="minor"/>
    </font>
    <font>
      <sz val="11"/>
      <name val="Calibri"/>
      <family val="2"/>
      <scheme val="minor"/>
    </font>
    <font>
      <b/>
      <sz val="10"/>
      <name val="+mj-lt"/>
    </font>
    <font>
      <b/>
      <sz val="22.5"/>
      <color theme="0"/>
      <name val="Franklin Gothic Demi"/>
      <family val="2"/>
    </font>
    <font>
      <i/>
      <sz val="12"/>
      <color theme="0"/>
      <name val="Franklin Gothic Demi"/>
      <family val="2"/>
    </font>
    <font>
      <b/>
      <sz val="22.5"/>
      <color theme="1"/>
      <name val="Franklin Gothic Demi"/>
      <family val="2"/>
    </font>
    <font>
      <sz val="12"/>
      <color theme="0"/>
      <name val="Franklin Gothic Demi"/>
      <family val="2"/>
    </font>
    <font>
      <b/>
      <sz val="12"/>
      <color theme="0"/>
      <name val="Franklin Gothic Demi"/>
      <family val="2"/>
    </font>
    <font>
      <u/>
      <sz val="12"/>
      <color theme="0"/>
      <name val="Franklin Gothic Demi"/>
      <family val="2"/>
    </font>
    <font>
      <sz val="12"/>
      <color rgb="FF000000"/>
      <name val="Franklin Gothic Demi"/>
      <family val="2"/>
    </font>
    <font>
      <i/>
      <sz val="12"/>
      <color rgb="FF000000"/>
      <name val="Franklin Gothic Demi"/>
      <family val="2"/>
    </font>
    <font>
      <sz val="12"/>
      <color theme="1"/>
      <name val="Franklin Gothic Demi"/>
      <family val="2"/>
    </font>
    <font>
      <sz val="12"/>
      <color rgb="FF000000"/>
      <name val="Franklin Gothic Book"/>
      <family val="2"/>
    </font>
    <font>
      <sz val="12"/>
      <color rgb="FF0000FF"/>
      <name val="Franklin Gothic Book"/>
      <family val="2"/>
    </font>
    <font>
      <b/>
      <sz val="12"/>
      <color rgb="FF000000"/>
      <name val="Franklin Gothic Book"/>
      <family val="2"/>
    </font>
    <font>
      <u/>
      <sz val="10"/>
      <color theme="10"/>
      <name val="Arial"/>
      <family val="2"/>
    </font>
    <font>
      <sz val="10"/>
      <color rgb="FF000000"/>
      <name val="Franklin Gothic Book"/>
      <family val="2"/>
    </font>
    <font>
      <i/>
      <sz val="10"/>
      <color rgb="FF000000"/>
      <name val="Franklin Gothic Book"/>
      <family val="2"/>
    </font>
    <font>
      <i/>
      <sz val="12"/>
      <color theme="1"/>
      <name val="Arial"/>
      <family val="2"/>
    </font>
    <font>
      <sz val="12"/>
      <color theme="1"/>
      <name val="Franklin Gothic Book"/>
      <family val="2"/>
    </font>
    <font>
      <i/>
      <sz val="12"/>
      <color theme="1"/>
      <name val="Franklin Gothic Book"/>
      <family val="2"/>
    </font>
    <font>
      <sz val="10"/>
      <color rgb="FF00CC00"/>
      <name val="Arial"/>
      <family val="2"/>
    </font>
    <font>
      <u/>
      <sz val="12"/>
      <color rgb="FF0000FF"/>
      <name val="Arial"/>
      <family val="2"/>
    </font>
    <font>
      <b/>
      <sz val="12"/>
      <color indexed="8"/>
      <name val="Arial"/>
      <family val="2"/>
    </font>
    <font>
      <sz val="12"/>
      <color indexed="8"/>
      <name val="Arial"/>
      <family val="2"/>
    </font>
    <font>
      <b/>
      <sz val="12"/>
      <name val="Arial"/>
      <family val="2"/>
    </font>
    <font>
      <sz val="12"/>
      <color indexed="9"/>
      <name val="Arial"/>
      <family val="2"/>
    </font>
    <font>
      <sz val="12"/>
      <name val="Arial"/>
      <family val="2"/>
    </font>
    <font>
      <sz val="10"/>
      <color indexed="10"/>
      <name val="Arial"/>
      <family val="2"/>
    </font>
    <font>
      <b/>
      <sz val="12"/>
      <color theme="0"/>
      <name val="Arial"/>
      <family val="2"/>
    </font>
    <font>
      <sz val="12"/>
      <color theme="0"/>
      <name val="Arial"/>
      <family val="2"/>
    </font>
    <font>
      <b/>
      <u/>
      <sz val="10"/>
      <name val="Arial"/>
      <family val="2"/>
    </font>
    <font>
      <b/>
      <i/>
      <sz val="10"/>
      <name val="Arial"/>
      <family val="2"/>
    </font>
    <font>
      <b/>
      <u/>
      <sz val="10"/>
      <color rgb="FF000000"/>
      <name val="Arial"/>
      <family val="2"/>
    </font>
    <font>
      <u/>
      <sz val="10"/>
      <color rgb="FF000000"/>
      <name val="Arial"/>
      <family val="2"/>
    </font>
    <font>
      <u/>
      <sz val="12"/>
      <name val="Arial"/>
      <family val="2"/>
    </font>
    <font>
      <i/>
      <sz val="11"/>
      <name val="Arial"/>
      <family val="2"/>
    </font>
    <font>
      <sz val="16"/>
      <color indexed="12"/>
      <name val="Arial"/>
      <family val="2"/>
    </font>
    <font>
      <u/>
      <sz val="11"/>
      <name val="Arial"/>
      <family val="2"/>
    </font>
    <font>
      <sz val="11"/>
      <color indexed="12"/>
      <name val="Arial"/>
      <family val="2"/>
    </font>
    <font>
      <b/>
      <sz val="16"/>
      <name val="Arial"/>
      <family val="2"/>
    </font>
    <font>
      <b/>
      <sz val="11"/>
      <color rgb="FF00CC00"/>
      <name val="Arial"/>
      <family val="2"/>
    </font>
    <font>
      <sz val="11"/>
      <color rgb="FF00CC00"/>
      <name val="Arial"/>
      <family val="2"/>
    </font>
    <font>
      <b/>
      <sz val="10"/>
      <color rgb="FF00CC00"/>
      <name val="Arial"/>
      <family val="2"/>
    </font>
    <font>
      <u/>
      <sz val="10"/>
      <color rgb="FF00CC00"/>
      <name val="Arial"/>
      <family val="2"/>
    </font>
    <font>
      <sz val="11"/>
      <color rgb="FF00CC00"/>
      <name val="Calibri"/>
      <family val="2"/>
      <scheme val="minor"/>
    </font>
    <font>
      <sz val="12"/>
      <color rgb="FF000000"/>
      <name val="Arial"/>
      <family val="2"/>
    </font>
    <font>
      <b/>
      <sz val="10"/>
      <color indexed="8"/>
      <name val="Arial"/>
      <family val="2"/>
    </font>
    <font>
      <sz val="10"/>
      <color indexed="8"/>
      <name val="Arial"/>
      <family val="2"/>
    </font>
    <font>
      <sz val="10"/>
      <color indexed="9"/>
      <name val="Arial"/>
      <family val="2"/>
    </font>
    <font>
      <sz val="10"/>
      <color theme="1"/>
      <name val="Calibri"/>
      <family val="2"/>
      <scheme val="minor"/>
    </font>
    <font>
      <sz val="11"/>
      <color rgb="FF000000"/>
      <name val="Arial"/>
      <family val="2"/>
    </font>
    <font>
      <b/>
      <u/>
      <sz val="11"/>
      <name val="Arial"/>
      <family val="2"/>
    </font>
    <font>
      <u/>
      <sz val="11"/>
      <color theme="10"/>
      <name val="Arial"/>
      <family val="2"/>
    </font>
    <font>
      <sz val="12"/>
      <color theme="1"/>
      <name val="Times New Roman"/>
      <family val="1"/>
    </font>
    <font>
      <sz val="12"/>
      <color theme="1"/>
      <name val="Arial"/>
      <family val="2"/>
    </font>
    <font>
      <b/>
      <u/>
      <sz val="10"/>
      <color theme="10"/>
      <name val="Arial"/>
      <family val="2"/>
    </font>
    <font>
      <i/>
      <sz val="10"/>
      <color rgb="FF0000FF"/>
      <name val="Arial"/>
      <family val="2"/>
    </font>
  </fonts>
  <fills count="26">
    <fill>
      <patternFill patternType="none"/>
    </fill>
    <fill>
      <patternFill patternType="gray125"/>
    </fill>
    <fill>
      <patternFill patternType="solid">
        <fgColor rgb="FFD9D9D9"/>
        <bgColor indexed="64"/>
      </patternFill>
    </fill>
    <fill>
      <patternFill patternType="solid">
        <fgColor rgb="FF99CCFF"/>
        <bgColor indexed="64"/>
      </patternFill>
    </fill>
    <fill>
      <patternFill patternType="solid">
        <fgColor theme="0" tint="-0.14999847407452621"/>
        <bgColor indexed="64"/>
      </patternFill>
    </fill>
    <fill>
      <patternFill patternType="solid">
        <fgColor indexed="44"/>
        <bgColor indexed="64"/>
      </patternFill>
    </fill>
    <fill>
      <patternFill patternType="solid">
        <fgColor rgb="FF99FF66"/>
        <bgColor indexed="64"/>
      </patternFill>
    </fill>
    <fill>
      <patternFill patternType="lightUp">
        <bgColor rgb="FF003479"/>
      </patternFill>
    </fill>
    <fill>
      <patternFill patternType="solid">
        <fgColor rgb="FFE0DCD8"/>
        <bgColor indexed="64"/>
      </patternFill>
    </fill>
    <fill>
      <patternFill patternType="solid">
        <fgColor indexed="51"/>
        <bgColor indexed="64"/>
      </patternFill>
    </fill>
    <fill>
      <patternFill patternType="solid">
        <fgColor indexed="10"/>
        <bgColor indexed="64"/>
      </patternFill>
    </fill>
    <fill>
      <patternFill patternType="solid">
        <fgColor indexed="11"/>
        <bgColor indexed="64"/>
      </patternFill>
    </fill>
    <fill>
      <patternFill patternType="solid">
        <fgColor rgb="FFFFFFAF"/>
        <bgColor indexed="64"/>
      </patternFill>
    </fill>
    <fill>
      <patternFill patternType="solid">
        <fgColor rgb="FFCCFFFF"/>
        <bgColor indexed="64"/>
      </patternFill>
    </fill>
    <fill>
      <patternFill patternType="solid">
        <fgColor indexed="41"/>
        <bgColor indexed="64"/>
      </patternFill>
    </fill>
    <fill>
      <patternFill patternType="solid">
        <fgColor indexed="13"/>
        <bgColor indexed="64"/>
      </patternFill>
    </fill>
    <fill>
      <patternFill patternType="solid">
        <fgColor indexed="47"/>
        <bgColor indexed="64"/>
      </patternFill>
    </fill>
    <fill>
      <patternFill patternType="solid">
        <fgColor rgb="FFADE600"/>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0" tint="-0.34998626667073579"/>
        <bgColor indexed="64"/>
      </patternFill>
    </fill>
    <fill>
      <patternFill patternType="solid">
        <fgColor rgb="FF00FF00"/>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rgb="FFFFFF00"/>
        <bgColor indexed="64"/>
      </patternFill>
    </fill>
  </fills>
  <borders count="54">
    <border>
      <left/>
      <right/>
      <top/>
      <bottom/>
      <diagonal/>
    </border>
    <border>
      <left/>
      <right/>
      <top style="thin">
        <color rgb="FF808080"/>
      </top>
      <bottom style="thin">
        <color rgb="FF808080"/>
      </bottom>
      <diagonal/>
    </border>
    <border>
      <left style="hair">
        <color auto="1"/>
      </left>
      <right style="hair">
        <color auto="1"/>
      </right>
      <top style="hair">
        <color auto="1"/>
      </top>
      <bottom style="hair">
        <color auto="1"/>
      </bottom>
      <diagonal/>
    </border>
    <border>
      <left/>
      <right/>
      <top style="medium">
        <color theme="0"/>
      </top>
      <bottom/>
      <diagonal/>
    </border>
    <border>
      <left/>
      <right/>
      <top/>
      <bottom style="thin">
        <color theme="0"/>
      </bottom>
      <diagonal/>
    </border>
    <border>
      <left style="hair">
        <color rgb="FF717362"/>
      </left>
      <right/>
      <top style="hair">
        <color rgb="FF717362"/>
      </top>
      <bottom style="hair">
        <color rgb="FF717362"/>
      </bottom>
      <diagonal/>
    </border>
    <border>
      <left/>
      <right style="hair">
        <color rgb="FF717362"/>
      </right>
      <top style="hair">
        <color rgb="FF717362"/>
      </top>
      <bottom style="hair">
        <color rgb="FF717362"/>
      </bottom>
      <diagonal/>
    </border>
    <border>
      <left style="hair">
        <color rgb="FF717362"/>
      </left>
      <right style="hair">
        <color rgb="FF717362"/>
      </right>
      <top style="hair">
        <color rgb="FF717362"/>
      </top>
      <bottom style="hair">
        <color rgb="FF717362"/>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style="dotted">
        <color indexed="64"/>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thick">
        <color rgb="FF00B050"/>
      </left>
      <right style="thick">
        <color rgb="FF00B050"/>
      </right>
      <top style="thick">
        <color rgb="FF00B050"/>
      </top>
      <bottom style="thick">
        <color rgb="FF00B050"/>
      </bottom>
      <diagonal/>
    </border>
    <border>
      <left style="medium">
        <color rgb="FF385D8A"/>
      </left>
      <right style="medium">
        <color rgb="FF385D8A"/>
      </right>
      <top style="medium">
        <color rgb="FF385D8A"/>
      </top>
      <bottom style="medium">
        <color rgb="FF385D8A"/>
      </bottom>
      <diagonal/>
    </border>
    <border>
      <left style="medium">
        <color rgb="FF385D8A"/>
      </left>
      <right/>
      <top style="medium">
        <color rgb="FF385D8A"/>
      </top>
      <bottom style="medium">
        <color rgb="FF385D8A"/>
      </bottom>
      <diagonal/>
    </border>
    <border>
      <left/>
      <right/>
      <top style="medium">
        <color rgb="FF385D8A"/>
      </top>
      <bottom style="medium">
        <color rgb="FF385D8A"/>
      </bottom>
      <diagonal/>
    </border>
    <border>
      <left/>
      <right style="medium">
        <color rgb="FF385D8A"/>
      </right>
      <top style="medium">
        <color rgb="FF385D8A"/>
      </top>
      <bottom style="medium">
        <color rgb="FF385D8A"/>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hair">
        <color indexed="64"/>
      </left>
      <right style="hair">
        <color indexed="64"/>
      </right>
      <top style="thin">
        <color indexed="64"/>
      </top>
      <bottom style="hair">
        <color indexed="64"/>
      </bottom>
      <diagonal/>
    </border>
    <border>
      <left style="medium">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medium">
        <color indexed="64"/>
      </top>
      <bottom style="medium">
        <color indexed="64"/>
      </bottom>
      <diagonal/>
    </border>
    <border>
      <left style="hair">
        <color auto="1"/>
      </left>
      <right style="hair">
        <color auto="1"/>
      </right>
      <top style="hair">
        <color auto="1"/>
      </top>
      <bottom/>
      <diagonal/>
    </border>
    <border>
      <left/>
      <right style="hair">
        <color auto="1"/>
      </right>
      <top style="thin">
        <color rgb="FF808080"/>
      </top>
      <bottom style="thin">
        <color rgb="FF808080"/>
      </bottom>
      <diagonal/>
    </border>
    <border>
      <left/>
      <right/>
      <top style="hair">
        <color rgb="FF717362"/>
      </top>
      <bottom/>
      <diagonal/>
    </border>
    <border>
      <left/>
      <right/>
      <top/>
      <bottom style="thin">
        <color indexed="64"/>
      </bottom>
      <diagonal/>
    </border>
  </borders>
  <cellStyleXfs count="26">
    <xf numFmtId="164" fontId="0" fillId="0" borderId="0" applyFont="0" applyFill="0" applyBorder="0" applyProtection="0">
      <alignment vertical="top"/>
    </xf>
    <xf numFmtId="164" fontId="10" fillId="0" borderId="0" applyFont="0" applyFill="0" applyBorder="0" applyProtection="0">
      <alignment vertical="top"/>
    </xf>
    <xf numFmtId="165" fontId="17" fillId="0" borderId="0" applyFont="0" applyFill="0" applyBorder="0" applyProtection="0">
      <alignment vertical="top"/>
    </xf>
    <xf numFmtId="167" fontId="17" fillId="0" borderId="0" applyFont="0" applyFill="0" applyBorder="0" applyProtection="0">
      <alignment vertical="top"/>
    </xf>
    <xf numFmtId="168" fontId="17" fillId="0" borderId="0" applyFont="0" applyFill="0" applyBorder="0" applyProtection="0">
      <alignment vertical="top"/>
    </xf>
    <xf numFmtId="170" fontId="17" fillId="0" borderId="0" applyFont="0" applyFill="0" applyBorder="0" applyProtection="0">
      <alignment vertical="top"/>
    </xf>
    <xf numFmtId="171" fontId="17" fillId="0" borderId="0" applyFont="0" applyFill="0" applyBorder="0" applyProtection="0">
      <alignment vertical="top"/>
    </xf>
    <xf numFmtId="164" fontId="17" fillId="0" borderId="0" applyFont="0" applyFill="0" applyBorder="0" applyProtection="0">
      <alignment vertical="top"/>
    </xf>
    <xf numFmtId="168" fontId="32" fillId="0" borderId="0" applyFont="0" applyFill="0" applyBorder="0" applyProtection="0">
      <alignment vertical="top"/>
    </xf>
    <xf numFmtId="0" fontId="9" fillId="0" borderId="0"/>
    <xf numFmtId="9" fontId="9" fillId="0" borderId="0" applyFont="0" applyFill="0" applyBorder="0" applyAlignment="0" applyProtection="0"/>
    <xf numFmtId="43" fontId="33" fillId="0" borderId="0" applyFont="0" applyFill="0" applyBorder="0" applyAlignment="0" applyProtection="0"/>
    <xf numFmtId="172" fontId="10" fillId="0" borderId="0" applyFont="0" applyFill="0" applyBorder="0" applyProtection="0">
      <alignment vertical="top"/>
    </xf>
    <xf numFmtId="172" fontId="10" fillId="0" borderId="0" applyFont="0" applyFill="0" applyBorder="0" applyProtection="0">
      <alignment vertical="top"/>
    </xf>
    <xf numFmtId="175" fontId="10" fillId="0" borderId="0" applyFont="0" applyFill="0" applyBorder="0" applyProtection="0">
      <alignment vertical="top"/>
    </xf>
    <xf numFmtId="0" fontId="8" fillId="0" borderId="0"/>
    <xf numFmtId="43" fontId="8" fillId="0" borderId="0" applyFont="0" applyFill="0" applyBorder="0" applyAlignment="0" applyProtection="0"/>
    <xf numFmtId="171" fontId="10" fillId="0" borderId="0" applyFont="0" applyFill="0" applyBorder="0" applyProtection="0">
      <alignment vertical="top"/>
    </xf>
    <xf numFmtId="172" fontId="52" fillId="0" borderId="0" applyNumberFormat="0" applyFill="0" applyBorder="0" applyAlignment="0" applyProtection="0">
      <alignment vertical="top"/>
    </xf>
    <xf numFmtId="43" fontId="32" fillId="0" borderId="0" applyFont="0" applyFill="0" applyBorder="0" applyAlignment="0" applyProtection="0"/>
    <xf numFmtId="0" fontId="16" fillId="0" borderId="0" applyNumberFormat="0" applyFill="0" applyBorder="0" applyProtection="0">
      <alignment vertical="top"/>
    </xf>
    <xf numFmtId="0" fontId="10" fillId="0" borderId="0" applyNumberFormat="0" applyFill="0" applyBorder="0" applyProtection="0">
      <alignment horizontal="right" vertical="top"/>
    </xf>
    <xf numFmtId="165" fontId="10" fillId="0" borderId="0" applyFont="0" applyFill="0" applyBorder="0" applyProtection="0">
      <alignment vertical="top"/>
    </xf>
    <xf numFmtId="171" fontId="32" fillId="0" borderId="0" applyFont="0" applyFill="0" applyBorder="0" applyProtection="0">
      <alignment vertical="top"/>
    </xf>
    <xf numFmtId="167" fontId="10" fillId="0" borderId="0" applyFont="0" applyFill="0" applyBorder="0" applyProtection="0">
      <alignment vertical="top"/>
    </xf>
    <xf numFmtId="168" fontId="10" fillId="0" borderId="0" applyFont="0" applyFill="0" applyBorder="0" applyProtection="0">
      <alignment vertical="top"/>
    </xf>
  </cellStyleXfs>
  <cellXfs count="819">
    <xf numFmtId="164" fontId="0" fillId="0" borderId="0" xfId="0">
      <alignment vertical="top"/>
    </xf>
    <xf numFmtId="164" fontId="11" fillId="0" borderId="0" xfId="1" applyFont="1" applyFill="1">
      <alignment vertical="top"/>
    </xf>
    <xf numFmtId="164" fontId="12" fillId="0" borderId="0" xfId="1" applyFont="1" applyFill="1">
      <alignment vertical="top"/>
    </xf>
    <xf numFmtId="164" fontId="13" fillId="0" borderId="0" xfId="1" applyFont="1" applyAlignment="1">
      <alignment horizontal="right" vertical="top"/>
    </xf>
    <xf numFmtId="164" fontId="13" fillId="0" borderId="0" xfId="1" applyFont="1">
      <alignment vertical="top"/>
    </xf>
    <xf numFmtId="164" fontId="15" fillId="0" borderId="0" xfId="1" applyFont="1">
      <alignment vertical="top"/>
    </xf>
    <xf numFmtId="164" fontId="10" fillId="0" borderId="0" xfId="1">
      <alignment vertical="top"/>
    </xf>
    <xf numFmtId="164" fontId="14" fillId="0" borderId="0" xfId="1" applyFont="1" applyFill="1" applyBorder="1">
      <alignment vertical="top"/>
    </xf>
    <xf numFmtId="164" fontId="16" fillId="0" borderId="0" xfId="1" applyFont="1" applyFill="1" applyBorder="1">
      <alignment vertical="top"/>
    </xf>
    <xf numFmtId="164" fontId="17" fillId="0" borderId="0" xfId="1" applyFont="1" applyFill="1" applyBorder="1" applyAlignment="1">
      <alignment horizontal="right" vertical="top"/>
    </xf>
    <xf numFmtId="164" fontId="17" fillId="0" borderId="0" xfId="1" applyFont="1" applyBorder="1">
      <alignment vertical="top"/>
    </xf>
    <xf numFmtId="164" fontId="14" fillId="0" borderId="0" xfId="1" applyFont="1">
      <alignment vertical="top"/>
    </xf>
    <xf numFmtId="164" fontId="16" fillId="0" borderId="0" xfId="1" applyFont="1">
      <alignment vertical="top"/>
    </xf>
    <xf numFmtId="164" fontId="17" fillId="0" borderId="0" xfId="1" applyFont="1" applyAlignment="1">
      <alignment horizontal="right" vertical="top"/>
    </xf>
    <xf numFmtId="164" fontId="17" fillId="0" borderId="0" xfId="1" applyFont="1">
      <alignment vertical="top"/>
    </xf>
    <xf numFmtId="164" fontId="19" fillId="3" borderId="0" xfId="1" applyFont="1" applyFill="1" applyBorder="1">
      <alignment vertical="top"/>
    </xf>
    <xf numFmtId="164" fontId="20" fillId="3" borderId="0" xfId="1" applyFont="1" applyFill="1" applyBorder="1">
      <alignment vertical="top"/>
    </xf>
    <xf numFmtId="164" fontId="19" fillId="3" borderId="0" xfId="1" applyFont="1" applyFill="1" applyBorder="1" applyAlignment="1">
      <alignment horizontal="right" vertical="top"/>
    </xf>
    <xf numFmtId="166" fontId="14" fillId="0" borderId="0" xfId="1" applyNumberFormat="1" applyFont="1">
      <alignment vertical="top"/>
    </xf>
    <xf numFmtId="166" fontId="16" fillId="0" borderId="0" xfId="1" applyNumberFormat="1" applyFont="1">
      <alignment vertical="top"/>
    </xf>
    <xf numFmtId="166" fontId="21" fillId="0" borderId="0" xfId="1" applyNumberFormat="1" applyFont="1" applyFill="1">
      <alignment vertical="top"/>
    </xf>
    <xf numFmtId="166" fontId="17" fillId="0" borderId="0" xfId="1" applyNumberFormat="1" applyFont="1" applyAlignment="1">
      <alignment horizontal="right" vertical="top"/>
    </xf>
    <xf numFmtId="164" fontId="14" fillId="0" borderId="0" xfId="1" applyFont="1" applyFill="1">
      <alignment vertical="top"/>
    </xf>
    <xf numFmtId="168" fontId="21" fillId="0" borderId="0" xfId="4" applyFont="1" applyFill="1">
      <alignment vertical="top"/>
    </xf>
    <xf numFmtId="166" fontId="17" fillId="0" borderId="0" xfId="1" applyNumberFormat="1" applyFont="1">
      <alignment vertical="top"/>
    </xf>
    <xf numFmtId="166" fontId="14" fillId="0" borderId="0" xfId="1" applyNumberFormat="1" applyFont="1" applyFill="1">
      <alignment vertical="top"/>
    </xf>
    <xf numFmtId="166" fontId="16" fillId="0" borderId="0" xfId="1" applyNumberFormat="1" applyFont="1" applyFill="1">
      <alignment vertical="top"/>
    </xf>
    <xf numFmtId="166" fontId="17" fillId="0" borderId="0" xfId="1" applyNumberFormat="1" applyFont="1" applyFill="1">
      <alignment vertical="top"/>
    </xf>
    <xf numFmtId="164" fontId="10" fillId="0" borderId="0" xfId="1" applyFill="1">
      <alignment vertical="top"/>
    </xf>
    <xf numFmtId="164" fontId="21" fillId="0" borderId="0" xfId="1" applyFont="1">
      <alignment vertical="top"/>
    </xf>
    <xf numFmtId="166" fontId="21" fillId="0" borderId="0" xfId="1" applyNumberFormat="1" applyFont="1">
      <alignment vertical="top"/>
    </xf>
    <xf numFmtId="164" fontId="21" fillId="0" borderId="0" xfId="1" applyFont="1" applyFill="1">
      <alignment vertical="top"/>
    </xf>
    <xf numFmtId="169" fontId="21" fillId="0" borderId="0" xfId="1" applyNumberFormat="1" applyFont="1">
      <alignment vertical="top"/>
    </xf>
    <xf numFmtId="169" fontId="17" fillId="0" borderId="0" xfId="1" applyNumberFormat="1" applyFont="1" applyBorder="1">
      <alignment vertical="top"/>
    </xf>
    <xf numFmtId="166" fontId="10" fillId="0" borderId="0" xfId="1" applyNumberFormat="1" applyFill="1">
      <alignment vertical="top"/>
    </xf>
    <xf numFmtId="164" fontId="25" fillId="0" borderId="0" xfId="1" applyFont="1">
      <alignment vertical="top"/>
    </xf>
    <xf numFmtId="166" fontId="21" fillId="0" borderId="0" xfId="1" applyNumberFormat="1" applyFont="1" applyFill="1" applyBorder="1">
      <alignment vertical="top"/>
    </xf>
    <xf numFmtId="164" fontId="23" fillId="0" borderId="0" xfId="1" applyFont="1">
      <alignment vertical="top"/>
    </xf>
    <xf numFmtId="164" fontId="28" fillId="2" borderId="0" xfId="1" applyFont="1" applyFill="1">
      <alignment vertical="top"/>
    </xf>
    <xf numFmtId="164" fontId="28" fillId="2" borderId="0" xfId="1" applyFont="1" applyFill="1" applyAlignment="1">
      <alignment wrapText="1"/>
    </xf>
    <xf numFmtId="0" fontId="29" fillId="2" borderId="0" xfId="1" applyNumberFormat="1" applyFont="1" applyFill="1" applyAlignment="1">
      <alignment horizontal="right" vertical="center" wrapText="1"/>
    </xf>
    <xf numFmtId="164" fontId="28" fillId="2" borderId="0" xfId="1" applyFont="1" applyFill="1" applyAlignment="1">
      <alignment vertical="top" wrapText="1"/>
    </xf>
    <xf numFmtId="164" fontId="21" fillId="0" borderId="0" xfId="1" applyFont="1" applyFill="1" applyBorder="1">
      <alignment vertical="top"/>
    </xf>
    <xf numFmtId="172" fontId="14" fillId="0" borderId="0" xfId="1" applyNumberFormat="1" applyFont="1" applyFill="1">
      <alignment vertical="top"/>
    </xf>
    <xf numFmtId="164" fontId="21" fillId="0" borderId="0" xfId="1" applyFont="1" applyAlignment="1">
      <alignment horizontal="right" vertical="top"/>
    </xf>
    <xf numFmtId="164" fontId="10" fillId="0" borderId="0" xfId="1" applyFill="1" applyBorder="1">
      <alignment vertical="top"/>
    </xf>
    <xf numFmtId="164" fontId="21" fillId="0" borderId="0" xfId="1" applyFont="1" applyBorder="1">
      <alignment vertical="top"/>
    </xf>
    <xf numFmtId="169" fontId="21" fillId="0" borderId="0" xfId="3" applyNumberFormat="1" applyFont="1" applyFill="1">
      <alignment vertical="top"/>
    </xf>
    <xf numFmtId="164" fontId="24" fillId="0" borderId="0" xfId="1" applyFont="1">
      <alignment vertical="top"/>
    </xf>
    <xf numFmtId="169" fontId="21" fillId="0" borderId="0" xfId="3" applyNumberFormat="1" applyFont="1">
      <alignment vertical="top"/>
    </xf>
    <xf numFmtId="169" fontId="21" fillId="0" borderId="0" xfId="1" applyNumberFormat="1" applyFont="1" applyBorder="1">
      <alignment vertical="top"/>
    </xf>
    <xf numFmtId="166" fontId="24" fillId="0" borderId="0" xfId="1" applyNumberFormat="1" applyFont="1" applyFill="1">
      <alignment vertical="top"/>
    </xf>
    <xf numFmtId="169" fontId="17" fillId="0" borderId="0" xfId="3" applyNumberFormat="1" applyFont="1" applyBorder="1">
      <alignment vertical="top"/>
    </xf>
    <xf numFmtId="164" fontId="30" fillId="0" borderId="0" xfId="1" applyFont="1">
      <alignment vertical="top"/>
    </xf>
    <xf numFmtId="164" fontId="26" fillId="0" borderId="0" xfId="1" applyFont="1">
      <alignment vertical="top"/>
    </xf>
    <xf numFmtId="164" fontId="27" fillId="0" borderId="0" xfId="1" applyFont="1">
      <alignment vertical="top"/>
    </xf>
    <xf numFmtId="164" fontId="23" fillId="0" borderId="0" xfId="1" applyFont="1" applyAlignment="1">
      <alignment horizontal="right" vertical="top"/>
    </xf>
    <xf numFmtId="164" fontId="23" fillId="0" borderId="0" xfId="1" applyFont="1" applyFill="1" applyBorder="1">
      <alignment vertical="top"/>
    </xf>
    <xf numFmtId="164" fontId="22" fillId="0" borderId="0" xfId="1" applyFont="1" applyFill="1" applyBorder="1">
      <alignment vertical="top"/>
    </xf>
    <xf numFmtId="169" fontId="17" fillId="0" borderId="0" xfId="3" applyNumberFormat="1" applyFont="1">
      <alignment vertical="top"/>
    </xf>
    <xf numFmtId="169" fontId="22" fillId="0" borderId="0" xfId="1" applyNumberFormat="1" applyFont="1" applyBorder="1">
      <alignment vertical="top"/>
    </xf>
    <xf numFmtId="166" fontId="24" fillId="0" borderId="0" xfId="1" applyNumberFormat="1" applyFont="1">
      <alignment vertical="top"/>
    </xf>
    <xf numFmtId="166" fontId="30" fillId="0" borderId="0" xfId="1" applyNumberFormat="1" applyFont="1">
      <alignment vertical="top"/>
    </xf>
    <xf numFmtId="169" fontId="21" fillId="0" borderId="0" xfId="3" applyNumberFormat="1" applyFont="1" applyBorder="1">
      <alignment vertical="top"/>
    </xf>
    <xf numFmtId="169" fontId="23" fillId="0" borderId="0" xfId="3" applyNumberFormat="1" applyFont="1">
      <alignment vertical="top"/>
    </xf>
    <xf numFmtId="164" fontId="20" fillId="0" borderId="0" xfId="1" applyFont="1" applyFill="1" applyBorder="1">
      <alignment vertical="top"/>
    </xf>
    <xf numFmtId="168" fontId="21" fillId="0" borderId="0" xfId="8" applyFont="1">
      <alignment vertical="top"/>
    </xf>
    <xf numFmtId="168" fontId="21" fillId="0" borderId="0" xfId="8" applyFont="1" applyFill="1">
      <alignment vertical="top"/>
    </xf>
    <xf numFmtId="164" fontId="33" fillId="0" borderId="0" xfId="1" applyFont="1" applyAlignment="1"/>
    <xf numFmtId="174" fontId="0" fillId="0" borderId="0" xfId="11" applyNumberFormat="1" applyFont="1" applyFill="1"/>
    <xf numFmtId="174" fontId="0" fillId="0" borderId="0" xfId="11" applyNumberFormat="1" applyFont="1"/>
    <xf numFmtId="174" fontId="34" fillId="0" borderId="0" xfId="11" applyNumberFormat="1" applyFont="1" applyAlignment="1">
      <alignment horizontal="left" indent="5"/>
    </xf>
    <xf numFmtId="164" fontId="33" fillId="0" borderId="0" xfId="1" applyFont="1" applyFill="1" applyAlignment="1"/>
    <xf numFmtId="174" fontId="34" fillId="0" borderId="0" xfId="11" applyNumberFormat="1" applyFont="1" applyFill="1"/>
    <xf numFmtId="168" fontId="21" fillId="0" borderId="0" xfId="8" applyFont="1" applyBorder="1">
      <alignment vertical="top"/>
    </xf>
    <xf numFmtId="164" fontId="28" fillId="0" borderId="0" xfId="1" applyFont="1" applyFill="1" applyBorder="1">
      <alignment vertical="top"/>
    </xf>
    <xf numFmtId="166" fontId="21" fillId="0" borderId="0" xfId="1" quotePrefix="1" applyNumberFormat="1" applyFont="1" applyAlignment="1">
      <alignment horizontal="right" vertical="top"/>
    </xf>
    <xf numFmtId="164" fontId="25" fillId="0" borderId="0" xfId="0" applyFont="1" applyBorder="1">
      <alignment vertical="top"/>
    </xf>
    <xf numFmtId="169" fontId="22" fillId="0" borderId="0" xfId="0" applyNumberFormat="1" applyFont="1" applyFill="1" applyBorder="1">
      <alignment vertical="top"/>
    </xf>
    <xf numFmtId="164" fontId="22" fillId="0" borderId="0" xfId="0" applyFont="1" applyBorder="1">
      <alignment vertical="top"/>
    </xf>
    <xf numFmtId="164" fontId="14" fillId="0" borderId="0" xfId="1" applyFont="1" applyBorder="1" applyAlignment="1">
      <alignment horizontal="center" vertical="top"/>
    </xf>
    <xf numFmtId="164" fontId="14" fillId="0" borderId="0" xfId="1" applyFont="1" applyFill="1" applyBorder="1" applyAlignment="1">
      <alignment horizontal="center" vertical="top"/>
    </xf>
    <xf numFmtId="164" fontId="0" fillId="0" borderId="0" xfId="0" applyAlignment="1"/>
    <xf numFmtId="9" fontId="0" fillId="0" borderId="0" xfId="0" applyNumberFormat="1" applyAlignment="1"/>
    <xf numFmtId="169" fontId="22" fillId="0" borderId="0" xfId="3" applyNumberFormat="1" applyFont="1" applyBorder="1">
      <alignment vertical="top"/>
    </xf>
    <xf numFmtId="169" fontId="10" fillId="0" borderId="0" xfId="3" applyNumberFormat="1" applyFont="1" applyFill="1" applyBorder="1">
      <alignment vertical="top"/>
    </xf>
    <xf numFmtId="164" fontId="10" fillId="0" borderId="0" xfId="1" applyFill="1" applyBorder="1" applyAlignment="1">
      <alignment horizontal="left" vertical="top"/>
    </xf>
    <xf numFmtId="166" fontId="17" fillId="0" borderId="0" xfId="1" applyNumberFormat="1" applyFont="1" applyAlignment="1">
      <alignment horizontal="left" vertical="top"/>
    </xf>
    <xf numFmtId="168" fontId="17" fillId="0" borderId="0" xfId="8" applyFont="1">
      <alignment vertical="top"/>
    </xf>
    <xf numFmtId="164" fontId="35" fillId="0" borderId="0" xfId="0" applyFont="1" applyAlignment="1"/>
    <xf numFmtId="164" fontId="21" fillId="0" borderId="0" xfId="1" applyFont="1" applyBorder="1" applyAlignment="1">
      <alignment horizontal="left" vertical="top"/>
    </xf>
    <xf numFmtId="164" fontId="17" fillId="0" borderId="0" xfId="1" applyFont="1" applyBorder="1" applyAlignment="1">
      <alignment horizontal="left" vertical="top"/>
    </xf>
    <xf numFmtId="164" fontId="22" fillId="0" borderId="0" xfId="0" applyFont="1" applyBorder="1" applyAlignment="1">
      <alignment horizontal="left" vertical="top"/>
    </xf>
    <xf numFmtId="169" fontId="23" fillId="0" borderId="0" xfId="3" applyNumberFormat="1" applyFont="1" applyFill="1" applyBorder="1">
      <alignment vertical="top"/>
    </xf>
    <xf numFmtId="164" fontId="36" fillId="0" borderId="0" xfId="0" applyFont="1" applyAlignment="1"/>
    <xf numFmtId="174" fontId="35" fillId="0" borderId="0" xfId="11" applyNumberFormat="1" applyFont="1" applyFill="1"/>
    <xf numFmtId="164" fontId="22" fillId="0" borderId="0" xfId="1" applyFont="1" applyFill="1" applyBorder="1" applyAlignment="1">
      <alignment horizontal="right" vertical="top"/>
    </xf>
    <xf numFmtId="164" fontId="17" fillId="0" borderId="1" xfId="1" applyFont="1" applyBorder="1" applyAlignment="1">
      <alignment horizontal="left" vertical="top"/>
    </xf>
    <xf numFmtId="169" fontId="17" fillId="0" borderId="1" xfId="3" applyNumberFormat="1" applyFont="1" applyBorder="1">
      <alignment vertical="top"/>
    </xf>
    <xf numFmtId="168" fontId="17" fillId="0" borderId="0" xfId="8" applyFont="1" applyBorder="1">
      <alignment vertical="top"/>
    </xf>
    <xf numFmtId="164" fontId="37" fillId="0" borderId="0" xfId="0" applyFont="1" applyAlignment="1"/>
    <xf numFmtId="164" fontId="23" fillId="0" borderId="1" xfId="1" applyFont="1" applyBorder="1" applyAlignment="1">
      <alignment horizontal="left" vertical="top"/>
    </xf>
    <xf numFmtId="168" fontId="21" fillId="0" borderId="0" xfId="8" applyFont="1" applyFill="1" applyBorder="1">
      <alignment vertical="top"/>
    </xf>
    <xf numFmtId="167" fontId="21" fillId="0" borderId="0" xfId="3" applyFont="1">
      <alignment vertical="top"/>
    </xf>
    <xf numFmtId="164" fontId="24" fillId="0" borderId="0" xfId="1" applyFont="1" applyFill="1">
      <alignment vertical="top"/>
    </xf>
    <xf numFmtId="164" fontId="30" fillId="0" borderId="0" xfId="1" applyFont="1" applyFill="1">
      <alignment vertical="top"/>
    </xf>
    <xf numFmtId="164" fontId="14" fillId="0" borderId="0" xfId="0" applyFont="1">
      <alignment vertical="top"/>
    </xf>
    <xf numFmtId="164" fontId="16" fillId="0" borderId="0" xfId="0" applyFont="1" applyFill="1">
      <alignment vertical="top"/>
    </xf>
    <xf numFmtId="164" fontId="10" fillId="0" borderId="0" xfId="0" applyFont="1" applyAlignment="1">
      <alignment horizontal="right" vertical="top"/>
    </xf>
    <xf numFmtId="164" fontId="10" fillId="0" borderId="0" xfId="0" applyFont="1">
      <alignment vertical="top"/>
    </xf>
    <xf numFmtId="164" fontId="21" fillId="0" borderId="0" xfId="1" applyFont="1" applyFill="1" applyBorder="1" applyAlignment="1">
      <alignment horizontal="left" vertical="top"/>
    </xf>
    <xf numFmtId="9" fontId="35" fillId="0" borderId="0" xfId="0" applyNumberFormat="1" applyFont="1" applyAlignment="1"/>
    <xf numFmtId="169" fontId="21" fillId="0" borderId="0" xfId="3" applyNumberFormat="1" applyFont="1" applyFill="1" applyBorder="1">
      <alignment vertical="top"/>
    </xf>
    <xf numFmtId="167" fontId="10" fillId="0" borderId="0" xfId="3" applyFont="1" applyFill="1" applyBorder="1">
      <alignment vertical="top"/>
    </xf>
    <xf numFmtId="166" fontId="10" fillId="0" borderId="0" xfId="3" applyNumberFormat="1" applyFont="1" applyFill="1" applyBorder="1">
      <alignment vertical="top"/>
    </xf>
    <xf numFmtId="164" fontId="17" fillId="0" borderId="0" xfId="1" applyFont="1" applyFill="1">
      <alignment vertical="top"/>
    </xf>
    <xf numFmtId="168" fontId="10" fillId="0" borderId="0" xfId="8" applyFont="1" applyFill="1" applyBorder="1">
      <alignment vertical="top"/>
    </xf>
    <xf numFmtId="9" fontId="0" fillId="0" borderId="0" xfId="0" applyNumberFormat="1" applyFill="1" applyAlignment="1"/>
    <xf numFmtId="169" fontId="10" fillId="0" borderId="0" xfId="1" applyNumberFormat="1" applyFont="1" applyBorder="1">
      <alignment vertical="top"/>
    </xf>
    <xf numFmtId="164" fontId="10" fillId="0" borderId="0" xfId="1" applyFont="1">
      <alignment vertical="top"/>
    </xf>
    <xf numFmtId="164" fontId="10" fillId="0" borderId="0" xfId="1" applyFont="1" applyFill="1" applyBorder="1">
      <alignment vertical="top"/>
    </xf>
    <xf numFmtId="164" fontId="10" fillId="0" borderId="0" xfId="1" applyAlignment="1">
      <alignment horizontal="right" vertical="top"/>
    </xf>
    <xf numFmtId="164" fontId="14" fillId="0" borderId="0" xfId="1" applyFont="1" applyBorder="1" applyAlignment="1">
      <alignment horizontal="right" vertical="top"/>
    </xf>
    <xf numFmtId="169" fontId="17" fillId="0" borderId="0" xfId="1" applyNumberFormat="1" applyFont="1" applyBorder="1" applyAlignment="1">
      <alignment horizontal="right" vertical="top"/>
    </xf>
    <xf numFmtId="169" fontId="21" fillId="0" borderId="0" xfId="3" applyNumberFormat="1" applyFont="1" applyBorder="1" applyAlignment="1">
      <alignment horizontal="right" vertical="top"/>
    </xf>
    <xf numFmtId="164" fontId="10" fillId="0" borderId="0" xfId="1" applyFill="1" applyBorder="1" applyAlignment="1">
      <alignment horizontal="right" vertical="top"/>
    </xf>
    <xf numFmtId="168" fontId="10" fillId="0" borderId="0" xfId="8" applyFont="1" applyFill="1" applyBorder="1" applyAlignment="1">
      <alignment horizontal="right" vertical="top"/>
    </xf>
    <xf numFmtId="164" fontId="21" fillId="0" borderId="0" xfId="1" applyFont="1" applyFill="1" applyBorder="1" applyAlignment="1">
      <alignment horizontal="right" vertical="top"/>
    </xf>
    <xf numFmtId="164" fontId="17" fillId="0" borderId="0" xfId="1" applyFont="1" applyBorder="1" applyAlignment="1">
      <alignment horizontal="right" vertical="top"/>
    </xf>
    <xf numFmtId="164" fontId="21" fillId="0" borderId="0" xfId="1" applyFont="1" applyBorder="1" applyAlignment="1">
      <alignment horizontal="right" vertical="top"/>
    </xf>
    <xf numFmtId="164" fontId="17" fillId="0" borderId="1" xfId="1" applyFont="1" applyBorder="1" applyAlignment="1">
      <alignment horizontal="right" vertical="top"/>
    </xf>
    <xf numFmtId="164" fontId="22" fillId="0" borderId="0" xfId="0" applyFont="1" applyBorder="1" applyAlignment="1">
      <alignment horizontal="right" vertical="top"/>
    </xf>
    <xf numFmtId="164" fontId="23" fillId="0" borderId="0" xfId="1" applyFont="1" applyFill="1" applyBorder="1" applyAlignment="1">
      <alignment horizontal="right" vertical="top"/>
    </xf>
    <xf numFmtId="164" fontId="28" fillId="2" borderId="0" xfId="1" applyFont="1" applyFill="1" applyAlignment="1">
      <alignment horizontal="right" vertical="top" wrapText="1"/>
    </xf>
    <xf numFmtId="164" fontId="10" fillId="0" borderId="0" xfId="1" applyAlignment="1">
      <alignment horizontal="left" vertical="top"/>
    </xf>
    <xf numFmtId="164" fontId="19" fillId="3" borderId="0" xfId="1" applyFont="1" applyFill="1" applyBorder="1" applyAlignment="1">
      <alignment horizontal="left" vertical="top"/>
    </xf>
    <xf numFmtId="169" fontId="17" fillId="0" borderId="0" xfId="1" applyNumberFormat="1" applyFont="1" applyBorder="1" applyAlignment="1">
      <alignment horizontal="left" vertical="top"/>
    </xf>
    <xf numFmtId="164" fontId="17" fillId="0" borderId="0" xfId="1" applyFont="1" applyAlignment="1">
      <alignment horizontal="left" vertical="top"/>
    </xf>
    <xf numFmtId="164" fontId="22" fillId="0" borderId="0" xfId="1" applyFont="1" applyFill="1" applyBorder="1" applyAlignment="1">
      <alignment horizontal="left" vertical="top"/>
    </xf>
    <xf numFmtId="164" fontId="23" fillId="0" borderId="0" xfId="1" applyFont="1" applyFill="1" applyBorder="1" applyAlignment="1">
      <alignment horizontal="left" vertical="top"/>
    </xf>
    <xf numFmtId="166" fontId="23" fillId="0" borderId="0" xfId="1" applyNumberFormat="1" applyFont="1" applyAlignment="1">
      <alignment horizontal="left" vertical="top"/>
    </xf>
    <xf numFmtId="164" fontId="14" fillId="0" borderId="0" xfId="1" applyFont="1" applyBorder="1">
      <alignment vertical="top"/>
    </xf>
    <xf numFmtId="169" fontId="10" fillId="0" borderId="0" xfId="3" applyNumberFormat="1" applyFont="1">
      <alignment vertical="top"/>
    </xf>
    <xf numFmtId="164" fontId="21" fillId="0" borderId="0" xfId="0" applyFont="1">
      <alignment vertical="top"/>
    </xf>
    <xf numFmtId="164" fontId="10" fillId="0" borderId="0" xfId="1" applyFont="1" applyFill="1" applyBorder="1" applyAlignment="1">
      <alignment horizontal="left" vertical="top"/>
    </xf>
    <xf numFmtId="164" fontId="10" fillId="0" borderId="0" xfId="1" applyFont="1" applyFill="1" applyBorder="1" applyAlignment="1">
      <alignment horizontal="right" vertical="top"/>
    </xf>
    <xf numFmtId="9" fontId="38" fillId="0" borderId="0" xfId="0" applyNumberFormat="1" applyFont="1" applyAlignment="1"/>
    <xf numFmtId="166" fontId="30" fillId="0" borderId="0" xfId="1" applyNumberFormat="1" applyFont="1" applyFill="1">
      <alignment vertical="top"/>
    </xf>
    <xf numFmtId="9" fontId="35" fillId="0" borderId="0" xfId="0" applyNumberFormat="1" applyFont="1" applyFill="1" applyAlignment="1"/>
    <xf numFmtId="164" fontId="10" fillId="0" borderId="0" xfId="1" applyFont="1" applyAlignment="1">
      <alignment horizontal="right" vertical="top"/>
    </xf>
    <xf numFmtId="164" fontId="13" fillId="0" borderId="0" xfId="1" applyFont="1" applyAlignment="1">
      <alignment horizontal="left" vertical="top"/>
    </xf>
    <xf numFmtId="164" fontId="28" fillId="2" borderId="0" xfId="1" applyFont="1" applyFill="1" applyAlignment="1">
      <alignment horizontal="left" wrapText="1"/>
    </xf>
    <xf numFmtId="164" fontId="21" fillId="0" borderId="0" xfId="1" applyFont="1" applyAlignment="1">
      <alignment horizontal="left" vertical="top"/>
    </xf>
    <xf numFmtId="164" fontId="28" fillId="2" borderId="0" xfId="1" applyFont="1" applyFill="1" applyAlignment="1">
      <alignment horizontal="right" vertical="top"/>
    </xf>
    <xf numFmtId="167" fontId="17" fillId="0" borderId="0" xfId="3" applyFont="1">
      <alignment vertical="top"/>
    </xf>
    <xf numFmtId="164" fontId="10" fillId="0" borderId="1" xfId="1" applyFont="1" applyBorder="1" applyAlignment="1">
      <alignment horizontal="right" vertical="top"/>
    </xf>
    <xf numFmtId="164" fontId="10" fillId="0" borderId="1" xfId="1" applyFont="1" applyBorder="1" applyAlignment="1">
      <alignment horizontal="left" vertical="top"/>
    </xf>
    <xf numFmtId="164" fontId="38" fillId="0" borderId="0" xfId="0" applyFont="1" applyAlignment="1"/>
    <xf numFmtId="164" fontId="10" fillId="0" borderId="0" xfId="1" applyFont="1" applyAlignment="1">
      <alignment horizontal="left" vertical="top"/>
    </xf>
    <xf numFmtId="166" fontId="10" fillId="0" borderId="0" xfId="3" applyNumberFormat="1" applyFont="1">
      <alignment vertical="top"/>
    </xf>
    <xf numFmtId="164" fontId="10" fillId="0" borderId="0" xfId="1" applyFont="1" applyBorder="1" applyAlignment="1">
      <alignment horizontal="left" vertical="top"/>
    </xf>
    <xf numFmtId="164" fontId="17" fillId="0" borderId="0" xfId="1" applyFont="1" applyFill="1" applyBorder="1" applyAlignment="1">
      <alignment horizontal="left" vertical="top"/>
    </xf>
    <xf numFmtId="0" fontId="29" fillId="2" borderId="0" xfId="1" applyNumberFormat="1" applyFont="1" applyFill="1" applyAlignment="1">
      <alignment horizontal="left" vertical="center" wrapText="1"/>
    </xf>
    <xf numFmtId="164" fontId="14" fillId="0" borderId="0" xfId="0" applyFont="1" applyFill="1">
      <alignment vertical="top"/>
    </xf>
    <xf numFmtId="164" fontId="16" fillId="0" borderId="0" xfId="0" applyFont="1">
      <alignment vertical="top"/>
    </xf>
    <xf numFmtId="164" fontId="10" fillId="0" borderId="0" xfId="0" applyFont="1" applyAlignment="1">
      <alignment horizontal="left" vertical="top"/>
    </xf>
    <xf numFmtId="164" fontId="23" fillId="0" borderId="0" xfId="1" applyFont="1" applyBorder="1" applyAlignment="1">
      <alignment horizontal="left" vertical="top"/>
    </xf>
    <xf numFmtId="164" fontId="23" fillId="0" borderId="0" xfId="1" applyFont="1" applyBorder="1" applyAlignment="1">
      <alignment horizontal="right" vertical="top"/>
    </xf>
    <xf numFmtId="164" fontId="14" fillId="0" borderId="0" xfId="1" applyFont="1" applyAlignment="1">
      <alignment horizontal="left" vertical="top"/>
    </xf>
    <xf numFmtId="166" fontId="10" fillId="0" borderId="0" xfId="1" applyNumberFormat="1" applyFont="1" applyAlignment="1">
      <alignment horizontal="left" vertical="top"/>
    </xf>
    <xf numFmtId="166" fontId="10" fillId="0" borderId="0" xfId="1" quotePrefix="1" applyNumberFormat="1" applyFont="1" applyFill="1" applyBorder="1" applyAlignment="1">
      <alignment horizontal="left" vertical="top"/>
    </xf>
    <xf numFmtId="166" fontId="10" fillId="0" borderId="0" xfId="1" applyNumberFormat="1" applyFont="1" applyFill="1" applyAlignment="1">
      <alignment horizontal="left" vertical="top"/>
    </xf>
    <xf numFmtId="0" fontId="39" fillId="2" borderId="0" xfId="1" applyNumberFormat="1" applyFont="1" applyFill="1" applyAlignment="1">
      <alignment horizontal="left" vertical="center" wrapText="1"/>
    </xf>
    <xf numFmtId="167" fontId="0" fillId="0" borderId="0" xfId="3" applyFont="1">
      <alignment vertical="top"/>
    </xf>
    <xf numFmtId="168" fontId="21" fillId="0" borderId="0" xfId="8" applyFont="1" applyFill="1" applyBorder="1" applyAlignment="1">
      <alignment horizontal="right" vertical="top"/>
    </xf>
    <xf numFmtId="169" fontId="23" fillId="0" borderId="0" xfId="1" applyNumberFormat="1" applyFont="1" applyFill="1" applyBorder="1">
      <alignment vertical="top"/>
    </xf>
    <xf numFmtId="166" fontId="26" fillId="0" borderId="0" xfId="1" applyNumberFormat="1" applyFont="1" applyFill="1">
      <alignment vertical="top"/>
    </xf>
    <xf numFmtId="166" fontId="26" fillId="0" borderId="0" xfId="1" applyNumberFormat="1" applyFont="1">
      <alignment vertical="top"/>
    </xf>
    <xf numFmtId="166" fontId="27" fillId="0" borderId="0" xfId="1" applyNumberFormat="1" applyFont="1">
      <alignment vertical="top"/>
    </xf>
    <xf numFmtId="167" fontId="23" fillId="0" borderId="0" xfId="3" applyFont="1" applyFill="1" applyBorder="1">
      <alignment vertical="top"/>
    </xf>
    <xf numFmtId="164" fontId="10" fillId="0" borderId="1" xfId="1" applyFont="1" applyFill="1" applyBorder="1" applyAlignment="1">
      <alignment horizontal="left" vertical="top"/>
    </xf>
    <xf numFmtId="169" fontId="10" fillId="0" borderId="1" xfId="3" applyNumberFormat="1" applyFont="1" applyBorder="1">
      <alignment vertical="top"/>
    </xf>
    <xf numFmtId="169" fontId="10" fillId="0" borderId="0" xfId="3" applyNumberFormat="1" applyFont="1" applyFill="1" applyBorder="1" applyAlignment="1">
      <alignment horizontal="right" vertical="top"/>
    </xf>
    <xf numFmtId="169" fontId="21" fillId="0" borderId="0" xfId="3" applyNumberFormat="1" applyFont="1" applyFill="1" applyBorder="1" applyAlignment="1">
      <alignment horizontal="right" vertical="top"/>
    </xf>
    <xf numFmtId="169" fontId="17" fillId="0" borderId="0" xfId="3" applyNumberFormat="1" applyFont="1" applyBorder="1" applyAlignment="1">
      <alignment horizontal="right" vertical="top"/>
    </xf>
    <xf numFmtId="169" fontId="17" fillId="0" borderId="1" xfId="3" applyNumberFormat="1" applyFont="1" applyBorder="1" applyAlignment="1">
      <alignment horizontal="right" vertical="top"/>
    </xf>
    <xf numFmtId="168" fontId="17" fillId="0" borderId="0" xfId="8" applyFont="1" applyBorder="1" applyAlignment="1">
      <alignment horizontal="right" vertical="top"/>
    </xf>
    <xf numFmtId="169" fontId="22" fillId="0" borderId="0" xfId="3" applyNumberFormat="1" applyFont="1" applyBorder="1" applyAlignment="1">
      <alignment horizontal="right" vertical="top"/>
    </xf>
    <xf numFmtId="169" fontId="22" fillId="0" borderId="0" xfId="1" applyNumberFormat="1" applyFont="1" applyBorder="1" applyAlignment="1">
      <alignment horizontal="right" vertical="top"/>
    </xf>
    <xf numFmtId="9" fontId="38" fillId="0" borderId="0" xfId="0" applyNumberFormat="1" applyFont="1" applyFill="1" applyAlignment="1"/>
    <xf numFmtId="164" fontId="10" fillId="0" borderId="1" xfId="1" applyFill="1" applyBorder="1" applyAlignment="1">
      <alignment horizontal="left" vertical="top"/>
    </xf>
    <xf numFmtId="166" fontId="17" fillId="0" borderId="1" xfId="1" applyNumberFormat="1" applyFont="1" applyBorder="1" applyAlignment="1">
      <alignment horizontal="left" vertical="top"/>
    </xf>
    <xf numFmtId="166" fontId="17" fillId="0" borderId="1" xfId="1" applyNumberFormat="1" applyFont="1" applyBorder="1" applyAlignment="1">
      <alignment horizontal="right" vertical="top"/>
    </xf>
    <xf numFmtId="164" fontId="19" fillId="0" borderId="0" xfId="1" applyFont="1" applyFill="1" applyBorder="1">
      <alignment vertical="top"/>
    </xf>
    <xf numFmtId="164" fontId="19" fillId="0" borderId="0" xfId="1" applyFont="1" applyFill="1" applyBorder="1" applyAlignment="1">
      <alignment horizontal="left" vertical="top"/>
    </xf>
    <xf numFmtId="164" fontId="19" fillId="0" borderId="0" xfId="1" applyFont="1" applyFill="1" applyBorder="1" applyAlignment="1">
      <alignment horizontal="right" vertical="top"/>
    </xf>
    <xf numFmtId="164" fontId="0" fillId="0" borderId="0" xfId="0" applyFill="1" applyAlignment="1"/>
    <xf numFmtId="173" fontId="21" fillId="0" borderId="0" xfId="3" applyNumberFormat="1" applyFont="1">
      <alignment vertical="top"/>
    </xf>
    <xf numFmtId="166" fontId="17" fillId="0" borderId="0" xfId="1" applyNumberFormat="1" applyFont="1" applyBorder="1" applyAlignment="1">
      <alignment horizontal="left" vertical="top"/>
    </xf>
    <xf numFmtId="166" fontId="17" fillId="0" borderId="0" xfId="1" applyNumberFormat="1" applyFont="1" applyBorder="1" applyAlignment="1">
      <alignment horizontal="right" vertical="top"/>
    </xf>
    <xf numFmtId="169" fontId="10" fillId="0" borderId="1" xfId="3" applyNumberFormat="1" applyFont="1" applyFill="1" applyBorder="1">
      <alignment vertical="top"/>
    </xf>
    <xf numFmtId="164" fontId="10" fillId="0" borderId="0" xfId="1" applyFont="1" applyFill="1" applyAlignment="1">
      <alignment horizontal="right" vertical="top"/>
    </xf>
    <xf numFmtId="164" fontId="10" fillId="0" borderId="1" xfId="1" applyFill="1" applyBorder="1" applyAlignment="1">
      <alignment horizontal="right" vertical="top"/>
    </xf>
    <xf numFmtId="173" fontId="21" fillId="0" borderId="0" xfId="3" applyNumberFormat="1" applyFont="1" applyFill="1" applyBorder="1" applyAlignment="1">
      <alignment horizontal="right" vertical="top"/>
    </xf>
    <xf numFmtId="164" fontId="14" fillId="0" borderId="0" xfId="0" applyFont="1" applyFill="1" applyBorder="1">
      <alignment vertical="top"/>
    </xf>
    <xf numFmtId="164" fontId="16" fillId="0" borderId="0" xfId="0" applyFont="1" applyFill="1" applyBorder="1">
      <alignment vertical="top"/>
    </xf>
    <xf numFmtId="164" fontId="10" fillId="0" borderId="0" xfId="0" applyFont="1" applyFill="1" applyBorder="1" applyAlignment="1">
      <alignment horizontal="right" vertical="top"/>
    </xf>
    <xf numFmtId="164" fontId="14" fillId="2" borderId="0" xfId="0" applyFont="1" applyFill="1" applyBorder="1">
      <alignment vertical="top"/>
    </xf>
    <xf numFmtId="164" fontId="16" fillId="2" borderId="0" xfId="0" applyFont="1" applyFill="1" applyBorder="1">
      <alignment vertical="top"/>
    </xf>
    <xf numFmtId="164" fontId="10" fillId="2" borderId="0" xfId="0" applyFont="1" applyFill="1" applyBorder="1" applyAlignment="1">
      <alignment horizontal="right" vertical="top"/>
    </xf>
    <xf numFmtId="164" fontId="14" fillId="2" borderId="0" xfId="0" applyFont="1" applyFill="1">
      <alignment vertical="top"/>
    </xf>
    <xf numFmtId="164" fontId="0" fillId="2" borderId="0" xfId="0" applyFont="1" applyFill="1">
      <alignment vertical="top"/>
    </xf>
    <xf numFmtId="164" fontId="10" fillId="0" borderId="0" xfId="0" applyFont="1" applyFill="1">
      <alignment vertical="top"/>
    </xf>
    <xf numFmtId="167" fontId="14" fillId="2" borderId="0" xfId="3" applyFont="1" applyFill="1">
      <alignment vertical="top"/>
    </xf>
    <xf numFmtId="167" fontId="17" fillId="2" borderId="0" xfId="3" applyFill="1">
      <alignment vertical="top"/>
    </xf>
    <xf numFmtId="164" fontId="28" fillId="2" borderId="0" xfId="0" applyFont="1" applyFill="1">
      <alignment vertical="top"/>
    </xf>
    <xf numFmtId="164" fontId="28" fillId="2" borderId="0" xfId="0" applyFont="1" applyFill="1" applyAlignment="1">
      <alignment wrapText="1"/>
    </xf>
    <xf numFmtId="0" fontId="29" fillId="2" borderId="0" xfId="0" applyNumberFormat="1" applyFont="1" applyFill="1" applyAlignment="1">
      <alignment horizontal="left" vertical="center" wrapText="1"/>
    </xf>
    <xf numFmtId="164" fontId="28" fillId="2" borderId="0" xfId="0" applyFont="1" applyFill="1" applyAlignment="1">
      <alignment vertical="top" wrapText="1"/>
    </xf>
    <xf numFmtId="164" fontId="10" fillId="0" borderId="0" xfId="0" applyFont="1" applyFill="1" applyAlignment="1">
      <alignment horizontal="left" vertical="center"/>
    </xf>
    <xf numFmtId="167" fontId="10" fillId="0" borderId="0" xfId="3" applyFont="1">
      <alignment vertical="top"/>
    </xf>
    <xf numFmtId="166" fontId="23" fillId="0" borderId="0" xfId="0" applyNumberFormat="1" applyFont="1" applyFill="1">
      <alignment vertical="top"/>
    </xf>
    <xf numFmtId="164" fontId="24" fillId="0" borderId="0" xfId="0" applyFont="1" applyFill="1">
      <alignment vertical="top"/>
    </xf>
    <xf numFmtId="164" fontId="38" fillId="0" borderId="0" xfId="0" applyFont="1">
      <alignment vertical="top"/>
    </xf>
    <xf numFmtId="164" fontId="17" fillId="0" borderId="0" xfId="1" applyFont="1" applyFill="1" applyAlignment="1">
      <alignment horizontal="left" vertical="top"/>
    </xf>
    <xf numFmtId="169" fontId="17" fillId="0" borderId="0" xfId="3" applyNumberFormat="1" applyFont="1" applyFill="1">
      <alignment vertical="top"/>
    </xf>
    <xf numFmtId="164" fontId="16" fillId="0" borderId="0" xfId="1" applyFont="1" applyFill="1">
      <alignment vertical="top"/>
    </xf>
    <xf numFmtId="164" fontId="21" fillId="0" borderId="0" xfId="1" applyFont="1" applyFill="1" applyAlignment="1">
      <alignment horizontal="right" vertical="top"/>
    </xf>
    <xf numFmtId="164" fontId="17" fillId="0" borderId="0" xfId="1" applyFont="1" applyFill="1" applyAlignment="1">
      <alignment horizontal="right" vertical="top"/>
    </xf>
    <xf numFmtId="169" fontId="10" fillId="0" borderId="0" xfId="3" applyNumberFormat="1" applyFont="1" applyBorder="1">
      <alignment vertical="top"/>
    </xf>
    <xf numFmtId="166" fontId="23" fillId="0" borderId="0" xfId="1" applyNumberFormat="1" applyFont="1" applyBorder="1" applyAlignment="1">
      <alignment horizontal="right" vertical="top"/>
    </xf>
    <xf numFmtId="164" fontId="10" fillId="0" borderId="0" xfId="1" applyFont="1" applyBorder="1" applyAlignment="1">
      <alignment horizontal="right" vertical="top"/>
    </xf>
    <xf numFmtId="164" fontId="21" fillId="0" borderId="0" xfId="0" applyFont="1" applyAlignment="1">
      <alignment horizontal="right" vertical="top"/>
    </xf>
    <xf numFmtId="164" fontId="40" fillId="7" borderId="0" xfId="1" applyFont="1" applyFill="1" applyBorder="1">
      <alignment vertical="top"/>
    </xf>
    <xf numFmtId="164" fontId="41" fillId="7" borderId="0" xfId="1" applyFont="1" applyFill="1" applyBorder="1">
      <alignment vertical="top"/>
    </xf>
    <xf numFmtId="164" fontId="42" fillId="0" borderId="0" xfId="1" applyFont="1" applyFill="1">
      <alignment vertical="top"/>
    </xf>
    <xf numFmtId="164" fontId="43" fillId="7" borderId="3" xfId="1" applyFont="1" applyFill="1" applyBorder="1">
      <alignment vertical="top"/>
    </xf>
    <xf numFmtId="164" fontId="41" fillId="7" borderId="3" xfId="1" applyFont="1" applyFill="1" applyBorder="1">
      <alignment vertical="top"/>
    </xf>
    <xf numFmtId="164" fontId="43" fillId="0" borderId="3" xfId="1" applyFont="1" applyFill="1" applyBorder="1">
      <alignment vertical="top"/>
    </xf>
    <xf numFmtId="164" fontId="43" fillId="0" borderId="0" xfId="1" applyFont="1" applyFill="1">
      <alignment vertical="top"/>
    </xf>
    <xf numFmtId="164" fontId="44" fillId="7" borderId="0" xfId="1" applyFont="1" applyFill="1">
      <alignment vertical="top"/>
    </xf>
    <xf numFmtId="164" fontId="41" fillId="7" borderId="0" xfId="1" applyFont="1" applyFill="1">
      <alignment vertical="top"/>
    </xf>
    <xf numFmtId="164" fontId="43" fillId="7" borderId="0" xfId="1" applyFont="1" applyFill="1">
      <alignment vertical="top"/>
    </xf>
    <xf numFmtId="164" fontId="44" fillId="0" borderId="0" xfId="1" applyFont="1" applyFill="1">
      <alignment vertical="top"/>
    </xf>
    <xf numFmtId="171" fontId="43" fillId="7" borderId="0" xfId="17" applyFont="1" applyFill="1">
      <alignment vertical="top"/>
    </xf>
    <xf numFmtId="164" fontId="43" fillId="7" borderId="4" xfId="1" applyFont="1" applyFill="1" applyBorder="1">
      <alignment vertical="top"/>
    </xf>
    <xf numFmtId="164" fontId="41" fillId="7" borderId="4" xfId="1" applyFont="1" applyFill="1" applyBorder="1">
      <alignment vertical="top"/>
    </xf>
    <xf numFmtId="164" fontId="46" fillId="0" borderId="0" xfId="1" applyFont="1" applyFill="1">
      <alignment vertical="top"/>
    </xf>
    <xf numFmtId="164" fontId="47" fillId="0" borderId="0" xfId="1" applyFont="1" applyFill="1">
      <alignment vertical="top"/>
    </xf>
    <xf numFmtId="164" fontId="48" fillId="0" borderId="0" xfId="1" applyFont="1" applyFill="1">
      <alignment vertical="top"/>
    </xf>
    <xf numFmtId="164" fontId="49" fillId="0" borderId="0" xfId="1" applyFont="1" applyFill="1">
      <alignment vertical="top"/>
    </xf>
    <xf numFmtId="164" fontId="49" fillId="0" borderId="0" xfId="1" applyFont="1" applyFill="1" applyBorder="1">
      <alignment vertical="top"/>
    </xf>
    <xf numFmtId="164" fontId="46" fillId="0" borderId="5" xfId="1" applyFont="1" applyFill="1" applyBorder="1">
      <alignment vertical="top"/>
    </xf>
    <xf numFmtId="164" fontId="46" fillId="0" borderId="6" xfId="1" applyFont="1" applyFill="1" applyBorder="1">
      <alignment vertical="top"/>
    </xf>
    <xf numFmtId="164" fontId="46" fillId="0" borderId="7" xfId="1" applyFont="1" applyFill="1" applyBorder="1">
      <alignment vertical="top"/>
    </xf>
    <xf numFmtId="164" fontId="46" fillId="0" borderId="0" xfId="1" applyFont="1" applyFill="1" applyAlignment="1">
      <alignment vertical="top" wrapText="1"/>
    </xf>
    <xf numFmtId="164" fontId="47" fillId="0" borderId="0" xfId="1" applyFont="1" applyFill="1" applyAlignment="1">
      <alignment vertical="top" wrapText="1"/>
    </xf>
    <xf numFmtId="164" fontId="49" fillId="0" borderId="0" xfId="1" applyFont="1" applyFill="1" applyAlignment="1">
      <alignment vertical="top" wrapText="1"/>
    </xf>
    <xf numFmtId="164" fontId="48" fillId="0" borderId="0" xfId="1" applyFont="1" applyFill="1" applyAlignment="1">
      <alignment vertical="top" wrapText="1"/>
    </xf>
    <xf numFmtId="164" fontId="53" fillId="6" borderId="0" xfId="1" applyFont="1" applyFill="1" applyAlignment="1">
      <alignment vertical="center"/>
    </xf>
    <xf numFmtId="164" fontId="54" fillId="0" borderId="0" xfId="1" applyFont="1" applyFill="1" applyAlignment="1">
      <alignment vertical="center"/>
    </xf>
    <xf numFmtId="164" fontId="53" fillId="6" borderId="0" xfId="1" applyFont="1" applyFill="1" applyBorder="1" applyAlignment="1">
      <alignment vertical="center"/>
    </xf>
    <xf numFmtId="164" fontId="28" fillId="8" borderId="0" xfId="1" applyFont="1" applyFill="1">
      <alignment vertical="top"/>
    </xf>
    <xf numFmtId="164" fontId="33" fillId="8" borderId="0" xfId="1" applyFont="1" applyFill="1">
      <alignment vertical="top"/>
    </xf>
    <xf numFmtId="164" fontId="55" fillId="8" borderId="0" xfId="1" applyFont="1" applyFill="1">
      <alignment vertical="top"/>
    </xf>
    <xf numFmtId="164" fontId="33" fillId="0" borderId="0" xfId="1" applyFont="1" applyFill="1">
      <alignment vertical="top"/>
    </xf>
    <xf numFmtId="164" fontId="56" fillId="0" borderId="0" xfId="1" applyFont="1">
      <alignment vertical="top"/>
    </xf>
    <xf numFmtId="164" fontId="57" fillId="0" borderId="0" xfId="1" applyFont="1">
      <alignment vertical="top"/>
    </xf>
    <xf numFmtId="164" fontId="56" fillId="0" borderId="0" xfId="1" applyFont="1" applyFill="1">
      <alignment vertical="top"/>
    </xf>
    <xf numFmtId="164" fontId="43" fillId="7" borderId="0" xfId="1" applyFont="1" applyFill="1" applyAlignment="1">
      <alignment horizontal="left" vertical="top"/>
    </xf>
    <xf numFmtId="164" fontId="58" fillId="0" borderId="0" xfId="0" applyFont="1">
      <alignment vertical="top"/>
    </xf>
    <xf numFmtId="164" fontId="0" fillId="0" borderId="0" xfId="0" applyFill="1">
      <alignment vertical="top"/>
    </xf>
    <xf numFmtId="169" fontId="21" fillId="0" borderId="0" xfId="1" applyNumberFormat="1" applyFont="1" applyBorder="1" applyAlignment="1">
      <alignment horizontal="left" vertical="top"/>
    </xf>
    <xf numFmtId="169" fontId="21" fillId="0" borderId="0" xfId="1" applyNumberFormat="1" applyFont="1" applyBorder="1" applyAlignment="1">
      <alignment horizontal="right" vertical="top"/>
    </xf>
    <xf numFmtId="164" fontId="0" fillId="0" borderId="0" xfId="0" applyAlignment="1">
      <alignment horizontal="right" vertical="top"/>
    </xf>
    <xf numFmtId="169" fontId="36" fillId="0" borderId="0" xfId="3" applyNumberFormat="1" applyFont="1" applyAlignment="1">
      <alignment horizontal="left" vertical="top"/>
    </xf>
    <xf numFmtId="169" fontId="10" fillId="0" borderId="0" xfId="3" applyNumberFormat="1" applyFont="1" applyFill="1">
      <alignment vertical="top"/>
    </xf>
    <xf numFmtId="164" fontId="38" fillId="0" borderId="0" xfId="0" applyFont="1" applyFill="1" applyAlignment="1"/>
    <xf numFmtId="166" fontId="17" fillId="0" borderId="0" xfId="1" applyNumberFormat="1" applyFont="1" applyFill="1" applyAlignment="1">
      <alignment horizontal="left" vertical="top"/>
    </xf>
    <xf numFmtId="166" fontId="17" fillId="0" borderId="0" xfId="1" applyNumberFormat="1" applyFont="1" applyFill="1" applyAlignment="1">
      <alignment horizontal="right" vertical="top"/>
    </xf>
    <xf numFmtId="166" fontId="10" fillId="0" borderId="0" xfId="1" applyNumberFormat="1" applyFont="1" applyFill="1" applyAlignment="1">
      <alignment horizontal="right" vertical="top"/>
    </xf>
    <xf numFmtId="169" fontId="17" fillId="0" borderId="0" xfId="1" applyNumberFormat="1" applyFont="1" applyFill="1" applyBorder="1" applyAlignment="1">
      <alignment horizontal="left" vertical="top"/>
    </xf>
    <xf numFmtId="169" fontId="17" fillId="0" borderId="0" xfId="1" applyNumberFormat="1" applyFont="1" applyFill="1" applyBorder="1" applyAlignment="1">
      <alignment horizontal="right" vertical="top"/>
    </xf>
    <xf numFmtId="169" fontId="17" fillId="0" borderId="0" xfId="1" applyNumberFormat="1" applyFont="1" applyFill="1" applyBorder="1">
      <alignment vertical="top"/>
    </xf>
    <xf numFmtId="169" fontId="17" fillId="0" borderId="0" xfId="3" applyNumberFormat="1" applyFont="1" applyFill="1" applyBorder="1">
      <alignment vertical="top"/>
    </xf>
    <xf numFmtId="169" fontId="21" fillId="0" borderId="0" xfId="1" applyNumberFormat="1" applyFont="1" applyFill="1" applyBorder="1" applyAlignment="1">
      <alignment horizontal="left" vertical="top"/>
    </xf>
    <xf numFmtId="169" fontId="21" fillId="0" borderId="0" xfId="1" applyNumberFormat="1" applyFont="1" applyFill="1" applyBorder="1" applyAlignment="1">
      <alignment horizontal="right" vertical="top"/>
    </xf>
    <xf numFmtId="166" fontId="27" fillId="0" borderId="0" xfId="1" applyNumberFormat="1" applyFont="1" applyFill="1">
      <alignment vertical="top"/>
    </xf>
    <xf numFmtId="166" fontId="23" fillId="0" borderId="0" xfId="1" applyNumberFormat="1" applyFont="1" applyFill="1" applyAlignment="1">
      <alignment horizontal="left" vertical="top"/>
    </xf>
    <xf numFmtId="166" fontId="10" fillId="0" borderId="0" xfId="1" applyNumberFormat="1" applyFont="1" applyBorder="1" applyAlignment="1">
      <alignment horizontal="right" vertical="top"/>
    </xf>
    <xf numFmtId="169" fontId="10" fillId="0" borderId="0" xfId="1" applyNumberFormat="1" applyFont="1" applyFill="1" applyBorder="1" applyAlignment="1">
      <alignment horizontal="left" vertical="top"/>
    </xf>
    <xf numFmtId="164" fontId="23" fillId="0" borderId="0" xfId="1" applyFont="1" applyAlignment="1">
      <alignment horizontal="left" vertical="top"/>
    </xf>
    <xf numFmtId="169" fontId="23" fillId="0" borderId="0" xfId="3" applyNumberFormat="1" applyFont="1" applyBorder="1">
      <alignment vertical="top"/>
    </xf>
    <xf numFmtId="164" fontId="10" fillId="0" borderId="0" xfId="1" applyFont="1" applyBorder="1">
      <alignment vertical="top"/>
    </xf>
    <xf numFmtId="169" fontId="21" fillId="0" borderId="0" xfId="3" applyNumberFormat="1" applyFont="1" applyAlignment="1">
      <alignment horizontal="right" vertical="top"/>
    </xf>
    <xf numFmtId="169" fontId="10" fillId="0" borderId="0" xfId="1" applyNumberFormat="1" applyFont="1" applyFill="1" applyBorder="1" applyAlignment="1">
      <alignment horizontal="right" vertical="top"/>
    </xf>
    <xf numFmtId="164" fontId="23" fillId="0" borderId="1" xfId="1" applyFont="1" applyFill="1" applyBorder="1" applyAlignment="1">
      <alignment horizontal="left" vertical="top"/>
    </xf>
    <xf numFmtId="164" fontId="23" fillId="0" borderId="1" xfId="1" applyFont="1" applyFill="1" applyBorder="1" applyAlignment="1">
      <alignment horizontal="right" vertical="top"/>
    </xf>
    <xf numFmtId="169" fontId="23" fillId="0" borderId="1" xfId="3" applyNumberFormat="1" applyFont="1" applyBorder="1">
      <alignment vertical="top"/>
    </xf>
    <xf numFmtId="169" fontId="23" fillId="0" borderId="1" xfId="1" applyNumberFormat="1" applyFont="1" applyFill="1" applyBorder="1">
      <alignment vertical="top"/>
    </xf>
    <xf numFmtId="164" fontId="10" fillId="11" borderId="0" xfId="0" applyFont="1" applyFill="1" applyAlignment="1">
      <alignment horizontal="right" vertical="top"/>
    </xf>
    <xf numFmtId="43" fontId="10" fillId="0" borderId="0" xfId="19" applyFont="1" applyFill="1" applyAlignment="1">
      <alignment vertical="top"/>
    </xf>
    <xf numFmtId="168" fontId="35" fillId="0" borderId="0" xfId="8" applyFont="1" applyFill="1">
      <alignment vertical="top"/>
    </xf>
    <xf numFmtId="172" fontId="11" fillId="0" borderId="0" xfId="1" applyNumberFormat="1" applyFont="1" applyFill="1">
      <alignment vertical="top"/>
    </xf>
    <xf numFmtId="172" fontId="59" fillId="0" borderId="0" xfId="1" applyNumberFormat="1" applyFont="1" applyFill="1" applyAlignment="1">
      <alignment horizontal="center" vertical="top"/>
    </xf>
    <xf numFmtId="164" fontId="60" fillId="0" borderId="0" xfId="1" applyFont="1" applyFill="1">
      <alignment vertical="top"/>
    </xf>
    <xf numFmtId="164" fontId="61" fillId="0" borderId="0" xfId="1" applyFont="1" applyFill="1">
      <alignment vertical="top"/>
    </xf>
    <xf numFmtId="164" fontId="62" fillId="2" borderId="8" xfId="1" applyFont="1" applyFill="1" applyBorder="1" applyAlignment="1">
      <alignment horizontal="centerContinuous" vertical="top"/>
    </xf>
    <xf numFmtId="164" fontId="63" fillId="2" borderId="8" xfId="1" applyFont="1" applyFill="1" applyBorder="1" applyAlignment="1">
      <alignment horizontal="centerContinuous" vertical="top"/>
    </xf>
    <xf numFmtId="164" fontId="64" fillId="2" borderId="8" xfId="1" applyFont="1" applyFill="1" applyBorder="1" applyAlignment="1">
      <alignment horizontal="centerContinuous" vertical="top"/>
    </xf>
    <xf numFmtId="164" fontId="63" fillId="2" borderId="9" xfId="1" applyFont="1" applyFill="1" applyBorder="1" applyAlignment="1">
      <alignment horizontal="centerContinuous" vertical="top"/>
    </xf>
    <xf numFmtId="164" fontId="10" fillId="0" borderId="0" xfId="1" applyFont="1" applyFill="1">
      <alignment vertical="top"/>
    </xf>
    <xf numFmtId="164" fontId="10" fillId="0" borderId="10" xfId="1" applyFont="1" applyBorder="1">
      <alignment vertical="top"/>
    </xf>
    <xf numFmtId="164" fontId="10" fillId="0" borderId="0" xfId="1" applyFont="1" applyBorder="1" applyAlignment="1">
      <alignment horizontal="center" vertical="top"/>
    </xf>
    <xf numFmtId="164" fontId="10" fillId="0" borderId="11" xfId="1" applyFont="1" applyBorder="1">
      <alignment vertical="top"/>
    </xf>
    <xf numFmtId="164" fontId="10" fillId="0" borderId="12" xfId="1" applyFont="1" applyBorder="1">
      <alignment vertical="top"/>
    </xf>
    <xf numFmtId="164" fontId="10" fillId="0" borderId="13" xfId="1" applyFont="1" applyBorder="1">
      <alignment vertical="top"/>
    </xf>
    <xf numFmtId="164" fontId="10" fillId="0" borderId="13" xfId="1" applyFont="1" applyBorder="1" applyAlignment="1">
      <alignment horizontal="center" vertical="top"/>
    </xf>
    <xf numFmtId="164" fontId="10" fillId="0" borderId="14" xfId="1" applyFont="1" applyBorder="1">
      <alignment vertical="top"/>
    </xf>
    <xf numFmtId="164" fontId="10" fillId="0" borderId="0" xfId="1" applyFont="1" applyAlignment="1">
      <alignment horizontal="center" vertical="top"/>
    </xf>
    <xf numFmtId="164" fontId="10" fillId="0" borderId="0" xfId="1" applyFont="1" applyAlignment="1">
      <alignment horizontal="center"/>
    </xf>
    <xf numFmtId="164" fontId="10" fillId="12" borderId="0" xfId="1" applyFont="1" applyFill="1" applyBorder="1" applyAlignment="1">
      <alignment horizontal="left" vertical="top"/>
    </xf>
    <xf numFmtId="164" fontId="10" fillId="2" borderId="0" xfId="1" applyFont="1" applyFill="1" applyBorder="1" applyAlignment="1">
      <alignment horizontal="left" vertical="top"/>
    </xf>
    <xf numFmtId="164" fontId="10" fillId="5" borderId="0" xfId="1" applyFont="1" applyFill="1" applyBorder="1" applyAlignment="1">
      <alignment horizontal="left" vertical="top"/>
    </xf>
    <xf numFmtId="164" fontId="10" fillId="15" borderId="0" xfId="1" applyFont="1" applyFill="1" applyBorder="1" applyAlignment="1">
      <alignment horizontal="left" vertical="top"/>
    </xf>
    <xf numFmtId="164" fontId="16" fillId="0" borderId="0" xfId="1" applyFont="1" applyBorder="1">
      <alignment vertical="top"/>
    </xf>
    <xf numFmtId="164" fontId="31" fillId="0" borderId="0" xfId="1" applyFont="1" applyBorder="1">
      <alignment vertical="top"/>
    </xf>
    <xf numFmtId="164" fontId="65" fillId="0" borderId="0" xfId="1" applyFont="1" applyBorder="1">
      <alignment vertical="top"/>
    </xf>
    <xf numFmtId="164" fontId="10" fillId="12" borderId="0" xfId="1" applyFont="1" applyFill="1" applyBorder="1">
      <alignment vertical="top"/>
    </xf>
    <xf numFmtId="164" fontId="10" fillId="2" borderId="0" xfId="1" applyFont="1" applyFill="1" applyBorder="1">
      <alignment vertical="top"/>
    </xf>
    <xf numFmtId="164" fontId="31" fillId="2" borderId="0" xfId="1" applyFont="1" applyFill="1" applyBorder="1">
      <alignment vertical="top"/>
    </xf>
    <xf numFmtId="164" fontId="10" fillId="5" borderId="0" xfId="1" applyFont="1" applyFill="1" applyBorder="1">
      <alignment vertical="top"/>
    </xf>
    <xf numFmtId="164" fontId="10" fillId="14" borderId="0" xfId="1" applyFont="1" applyFill="1" applyBorder="1">
      <alignment vertical="top"/>
    </xf>
    <xf numFmtId="164" fontId="10" fillId="16" borderId="0" xfId="1" applyFont="1" applyFill="1" applyBorder="1">
      <alignment vertical="top"/>
    </xf>
    <xf numFmtId="164" fontId="10" fillId="15" borderId="0" xfId="1" applyFont="1" applyFill="1" applyBorder="1">
      <alignment vertical="top"/>
    </xf>
    <xf numFmtId="164" fontId="10" fillId="17" borderId="0" xfId="1" applyFont="1" applyFill="1" applyBorder="1">
      <alignment vertical="top"/>
    </xf>
    <xf numFmtId="164" fontId="10" fillId="6" borderId="0" xfId="1" applyFont="1" applyFill="1" applyBorder="1">
      <alignment vertical="top"/>
    </xf>
    <xf numFmtId="164" fontId="10" fillId="10" borderId="0" xfId="1" applyFont="1" applyFill="1" applyBorder="1">
      <alignment vertical="top"/>
    </xf>
    <xf numFmtId="164" fontId="10" fillId="9" borderId="0" xfId="1" applyFont="1" applyFill="1" applyBorder="1">
      <alignment vertical="top"/>
    </xf>
    <xf numFmtId="164" fontId="10" fillId="13" borderId="0" xfId="1" applyFont="1" applyFill="1" applyBorder="1" applyAlignment="1">
      <alignment horizontal="left" vertical="top"/>
    </xf>
    <xf numFmtId="164" fontId="62" fillId="2" borderId="15" xfId="1" applyFont="1" applyFill="1" applyBorder="1" applyAlignment="1">
      <alignment horizontal="centerContinuous" vertical="top"/>
    </xf>
    <xf numFmtId="166" fontId="10" fillId="0" borderId="0" xfId="1" applyNumberFormat="1" applyFont="1" applyFill="1" applyBorder="1" applyAlignment="1">
      <alignment horizontal="right" vertical="top"/>
    </xf>
    <xf numFmtId="164" fontId="12" fillId="0" borderId="0" xfId="1" applyFont="1" applyFill="1" applyAlignment="1">
      <alignment horizontal="right" vertical="top"/>
    </xf>
    <xf numFmtId="164" fontId="16" fillId="0" borderId="0" xfId="1" applyFont="1" applyFill="1" applyBorder="1" applyAlignment="1">
      <alignment horizontal="right" vertical="top"/>
    </xf>
    <xf numFmtId="164" fontId="16" fillId="0" borderId="0" xfId="1" applyFont="1" applyAlignment="1">
      <alignment horizontal="right" vertical="top"/>
    </xf>
    <xf numFmtId="166" fontId="16" fillId="0" borderId="0" xfId="1" applyNumberFormat="1" applyFont="1" applyAlignment="1">
      <alignment horizontal="right" vertical="top"/>
    </xf>
    <xf numFmtId="164" fontId="7" fillId="3" borderId="0" xfId="1" applyFont="1" applyFill="1" applyBorder="1" applyAlignment="1">
      <alignment horizontal="right" vertical="top"/>
    </xf>
    <xf numFmtId="164" fontId="14" fillId="2" borderId="0" xfId="1" applyFont="1" applyFill="1" applyAlignment="1">
      <alignment horizontal="right" wrapText="1"/>
    </xf>
    <xf numFmtId="169" fontId="23" fillId="0" borderId="0" xfId="3" applyNumberFormat="1" applyFont="1" applyFill="1">
      <alignment vertical="top"/>
    </xf>
    <xf numFmtId="164" fontId="66" fillId="0" borderId="10" xfId="1" applyFont="1" applyFill="1" applyBorder="1" applyAlignment="1">
      <alignment horizontal="centerContinuous" vertical="top"/>
    </xf>
    <xf numFmtId="164" fontId="67" fillId="0" borderId="0" xfId="1" applyFont="1" applyFill="1" applyBorder="1" applyAlignment="1">
      <alignment horizontal="centerContinuous" vertical="top"/>
    </xf>
    <xf numFmtId="164" fontId="66" fillId="0" borderId="0" xfId="1" applyFont="1" applyFill="1" applyBorder="1" applyAlignment="1">
      <alignment horizontal="centerContinuous" vertical="top"/>
    </xf>
    <xf numFmtId="164" fontId="10" fillId="11" borderId="0" xfId="0" applyFont="1" applyFill="1">
      <alignment vertical="top"/>
    </xf>
    <xf numFmtId="164" fontId="33" fillId="0" borderId="0" xfId="0" applyFont="1">
      <alignment vertical="top"/>
    </xf>
    <xf numFmtId="165" fontId="10" fillId="0" borderId="0" xfId="22" applyFont="1" applyBorder="1">
      <alignment vertical="top"/>
    </xf>
    <xf numFmtId="169" fontId="10" fillId="0" borderId="0" xfId="0" applyNumberFormat="1" applyFont="1">
      <alignment vertical="top"/>
    </xf>
    <xf numFmtId="165" fontId="18" fillId="2" borderId="0" xfId="22" applyFont="1" applyFill="1" applyBorder="1">
      <alignment vertical="top"/>
    </xf>
    <xf numFmtId="165" fontId="10" fillId="0" borderId="0" xfId="22" applyFont="1" applyBorder="1" applyAlignment="1">
      <alignment horizontal="center" vertical="center"/>
    </xf>
    <xf numFmtId="164" fontId="10" fillId="0" borderId="0" xfId="0" applyFont="1" applyFill="1" applyBorder="1">
      <alignment vertical="top"/>
    </xf>
    <xf numFmtId="164" fontId="14" fillId="0" borderId="0" xfId="0" applyFont="1" applyFill="1" applyBorder="1" applyAlignment="1">
      <alignment horizontal="left" vertical="top"/>
    </xf>
    <xf numFmtId="169" fontId="10" fillId="2" borderId="0" xfId="0" applyNumberFormat="1" applyFont="1" applyFill="1">
      <alignment vertical="top"/>
    </xf>
    <xf numFmtId="172" fontId="14" fillId="0" borderId="0" xfId="0" applyNumberFormat="1" applyFont="1" applyFill="1" applyBorder="1">
      <alignment vertical="top"/>
    </xf>
    <xf numFmtId="172" fontId="16" fillId="0" borderId="0" xfId="0" applyNumberFormat="1" applyFont="1" applyFill="1" applyBorder="1">
      <alignment vertical="top"/>
    </xf>
    <xf numFmtId="172" fontId="31" fillId="0" borderId="0" xfId="0" applyNumberFormat="1" applyFont="1" applyFill="1">
      <alignment vertical="top"/>
    </xf>
    <xf numFmtId="169" fontId="31" fillId="0" borderId="0" xfId="0" applyNumberFormat="1" applyFont="1" applyFill="1">
      <alignment vertical="top"/>
    </xf>
    <xf numFmtId="172" fontId="10" fillId="0" borderId="0" xfId="0" applyNumberFormat="1" applyFont="1" applyFill="1" applyBorder="1" applyAlignment="1">
      <alignment horizontal="right" vertical="top"/>
    </xf>
    <xf numFmtId="169" fontId="21" fillId="0" borderId="0" xfId="0" applyNumberFormat="1" applyFont="1" applyFill="1">
      <alignment vertical="top"/>
    </xf>
    <xf numFmtId="165" fontId="14" fillId="0" borderId="0" xfId="22" applyFont="1" applyFill="1" applyBorder="1">
      <alignment vertical="top"/>
    </xf>
    <xf numFmtId="165" fontId="16" fillId="0" borderId="0" xfId="22" applyFont="1" applyFill="1" applyBorder="1">
      <alignment vertical="top"/>
    </xf>
    <xf numFmtId="165" fontId="10" fillId="0" borderId="0" xfId="22" applyFont="1" applyFill="1" applyBorder="1">
      <alignment vertical="top"/>
    </xf>
    <xf numFmtId="165" fontId="10" fillId="0" borderId="0" xfId="22" applyFont="1" applyAlignment="1">
      <alignment horizontal="right" vertical="top"/>
    </xf>
    <xf numFmtId="165" fontId="18" fillId="2" borderId="0" xfId="22" applyFont="1" applyFill="1">
      <alignment vertical="top"/>
    </xf>
    <xf numFmtId="171" fontId="10" fillId="14" borderId="0" xfId="23" applyFont="1" applyFill="1">
      <alignment vertical="top"/>
    </xf>
    <xf numFmtId="178" fontId="14" fillId="0" borderId="0" xfId="22" applyNumberFormat="1" applyFont="1" applyFill="1" applyBorder="1">
      <alignment vertical="top"/>
    </xf>
    <xf numFmtId="178" fontId="16" fillId="0" borderId="0" xfId="22" applyNumberFormat="1" applyFont="1" applyFill="1" applyBorder="1">
      <alignment vertical="top"/>
    </xf>
    <xf numFmtId="178" fontId="10" fillId="0" borderId="0" xfId="22" applyNumberFormat="1" applyFont="1" applyFill="1" applyBorder="1">
      <alignment vertical="top"/>
    </xf>
    <xf numFmtId="178" fontId="18" fillId="2" borderId="0" xfId="22" applyNumberFormat="1" applyFont="1" applyFill="1">
      <alignment vertical="top"/>
    </xf>
    <xf numFmtId="179" fontId="10" fillId="13" borderId="0" xfId="0" applyNumberFormat="1" applyFont="1" applyFill="1">
      <alignment vertical="top"/>
    </xf>
    <xf numFmtId="169" fontId="10" fillId="14" borderId="0" xfId="0" applyNumberFormat="1" applyFont="1" applyFill="1" applyAlignment="1">
      <alignment vertical="top" wrapText="1"/>
    </xf>
    <xf numFmtId="169" fontId="10" fillId="12" borderId="0" xfId="0" applyNumberFormat="1" applyFont="1" applyFill="1" applyAlignment="1">
      <alignment vertical="top" wrapText="1"/>
    </xf>
    <xf numFmtId="168" fontId="10" fillId="0" borderId="0" xfId="8" applyFont="1" applyFill="1">
      <alignment vertical="top"/>
    </xf>
    <xf numFmtId="164" fontId="6" fillId="3" borderId="0" xfId="1" applyFont="1" applyFill="1" applyBorder="1">
      <alignment vertical="top"/>
    </xf>
    <xf numFmtId="164" fontId="6" fillId="0" borderId="0" xfId="1" applyFont="1">
      <alignment vertical="top"/>
    </xf>
    <xf numFmtId="166" fontId="10" fillId="0" borderId="0" xfId="1" applyNumberFormat="1" applyFont="1">
      <alignment vertical="top"/>
    </xf>
    <xf numFmtId="166" fontId="10" fillId="0" borderId="0" xfId="1" applyNumberFormat="1" applyFont="1" applyAlignment="1">
      <alignment horizontal="right" vertical="top"/>
    </xf>
    <xf numFmtId="164" fontId="17" fillId="2" borderId="2" xfId="1" applyFont="1" applyFill="1" applyBorder="1" applyAlignment="1">
      <alignment horizontal="right" vertical="top"/>
    </xf>
    <xf numFmtId="168" fontId="17" fillId="0" borderId="0" xfId="8" applyFont="1" applyFill="1" applyAlignment="1">
      <alignment horizontal="right" vertical="top"/>
    </xf>
    <xf numFmtId="169" fontId="17" fillId="0" borderId="0" xfId="1" applyNumberFormat="1" applyFont="1" applyFill="1" applyAlignment="1">
      <alignment horizontal="right" vertical="top"/>
    </xf>
    <xf numFmtId="166" fontId="21" fillId="0" borderId="0" xfId="1" applyNumberFormat="1" applyFont="1" applyAlignment="1">
      <alignment horizontal="right" vertical="top"/>
    </xf>
    <xf numFmtId="166" fontId="21" fillId="0" borderId="0" xfId="1" applyNumberFormat="1" applyFont="1" applyFill="1" applyAlignment="1">
      <alignment horizontal="right" vertical="top"/>
    </xf>
    <xf numFmtId="164" fontId="14" fillId="0" borderId="0" xfId="1" applyFont="1" applyAlignment="1">
      <alignment horizontal="right" vertical="top"/>
    </xf>
    <xf numFmtId="169" fontId="21" fillId="0" borderId="0" xfId="3" applyNumberFormat="1" applyFont="1" applyFill="1" applyAlignment="1">
      <alignment horizontal="right" vertical="top"/>
    </xf>
    <xf numFmtId="164" fontId="10" fillId="0" borderId="0" xfId="0" applyFont="1" applyFill="1" applyAlignment="1">
      <alignment horizontal="right" vertical="center"/>
    </xf>
    <xf numFmtId="173" fontId="21" fillId="0" borderId="0" xfId="3" applyNumberFormat="1" applyFont="1" applyAlignment="1">
      <alignment horizontal="right" vertical="top"/>
    </xf>
    <xf numFmtId="168" fontId="21" fillId="0" borderId="0" xfId="8" applyFont="1" applyAlignment="1">
      <alignment horizontal="right" vertical="top"/>
    </xf>
    <xf numFmtId="166" fontId="23" fillId="0" borderId="0" xfId="0" applyNumberFormat="1" applyFont="1" applyFill="1" applyAlignment="1">
      <alignment horizontal="right" vertical="top"/>
    </xf>
    <xf numFmtId="166" fontId="21" fillId="0" borderId="0" xfId="1" applyNumberFormat="1" applyFont="1" applyAlignment="1">
      <alignment horizontal="left" vertical="top"/>
    </xf>
    <xf numFmtId="164" fontId="10" fillId="0" borderId="0" xfId="0" applyFont="1" applyFill="1" applyAlignment="1">
      <alignment horizontal="left" vertical="top"/>
    </xf>
    <xf numFmtId="164" fontId="30" fillId="0" borderId="0" xfId="0" applyFont="1" applyFill="1">
      <alignment vertical="top"/>
    </xf>
    <xf numFmtId="164" fontId="10" fillId="0" borderId="0" xfId="0" applyFont="1" applyFill="1" applyAlignment="1">
      <alignment horizontal="right" vertical="top"/>
    </xf>
    <xf numFmtId="164" fontId="21" fillId="0" borderId="0" xfId="0" applyFont="1" applyFill="1">
      <alignment vertical="top"/>
    </xf>
    <xf numFmtId="164" fontId="35" fillId="0" borderId="0" xfId="0" applyFont="1" applyFill="1">
      <alignment vertical="top"/>
    </xf>
    <xf numFmtId="164" fontId="10" fillId="0" borderId="0" xfId="1" applyFont="1" applyFill="1" applyAlignment="1">
      <alignment horizontal="left" vertical="top"/>
    </xf>
    <xf numFmtId="164" fontId="21" fillId="0" borderId="0" xfId="0" applyFont="1" applyFill="1" applyAlignment="1">
      <alignment horizontal="left" vertical="top"/>
    </xf>
    <xf numFmtId="164" fontId="21" fillId="0" borderId="0" xfId="0" applyFont="1" applyFill="1" applyAlignment="1">
      <alignment horizontal="right" vertical="top"/>
    </xf>
    <xf numFmtId="164" fontId="52" fillId="0" borderId="0" xfId="18" applyNumberFormat="1">
      <alignment vertical="top"/>
    </xf>
    <xf numFmtId="164" fontId="13" fillId="0" borderId="0" xfId="1" applyFont="1" applyFill="1">
      <alignment vertical="top"/>
    </xf>
    <xf numFmtId="1" fontId="10" fillId="0" borderId="0" xfId="8" applyNumberFormat="1" applyFont="1" applyFill="1" applyAlignment="1" applyProtection="1">
      <alignment vertical="center"/>
    </xf>
    <xf numFmtId="1" fontId="10" fillId="0" borderId="0" xfId="8" applyNumberFormat="1" applyFont="1" applyFill="1" applyBorder="1" applyAlignment="1" applyProtection="1">
      <alignment horizontal="left" vertical="center"/>
    </xf>
    <xf numFmtId="1" fontId="21" fillId="0" borderId="0" xfId="8" applyNumberFormat="1" applyFont="1" applyFill="1" applyAlignment="1" applyProtection="1">
      <alignment vertical="center"/>
    </xf>
    <xf numFmtId="1" fontId="10" fillId="0" borderId="0" xfId="8" applyNumberFormat="1" applyFont="1" applyFill="1" applyAlignment="1" applyProtection="1">
      <alignment horizontal="left" vertical="center" indent="1"/>
    </xf>
    <xf numFmtId="164" fontId="21" fillId="0" borderId="0" xfId="3" applyNumberFormat="1" applyFont="1" applyFill="1" applyBorder="1">
      <alignment vertical="top"/>
    </xf>
    <xf numFmtId="164" fontId="21" fillId="0" borderId="0" xfId="3" applyNumberFormat="1" applyFont="1" applyFill="1" applyBorder="1" applyAlignment="1">
      <alignment horizontal="right" vertical="top"/>
    </xf>
    <xf numFmtId="180" fontId="17" fillId="2" borderId="2" xfId="3" applyNumberFormat="1" applyFont="1" applyFill="1" applyBorder="1" applyAlignment="1">
      <alignment horizontal="right" vertical="top"/>
    </xf>
    <xf numFmtId="0" fontId="10" fillId="12" borderId="16" xfId="0" applyNumberFormat="1" applyFont="1" applyFill="1" applyBorder="1" applyAlignment="1" applyProtection="1">
      <alignment horizontal="right" vertical="center"/>
      <protection locked="0"/>
    </xf>
    <xf numFmtId="1" fontId="10" fillId="0" borderId="0" xfId="8" applyNumberFormat="1" applyFont="1" applyFill="1" applyAlignment="1" applyProtection="1">
      <alignment horizontal="right" vertical="center"/>
    </xf>
    <xf numFmtId="164" fontId="64" fillId="0" borderId="0" xfId="0" applyFont="1" applyFill="1" applyBorder="1">
      <alignment vertical="top"/>
    </xf>
    <xf numFmtId="164" fontId="52" fillId="0" borderId="0" xfId="18" applyNumberFormat="1" applyFill="1">
      <alignment vertical="top"/>
    </xf>
    <xf numFmtId="169" fontId="0" fillId="0" borderId="0" xfId="3" applyNumberFormat="1" applyFont="1">
      <alignment vertical="top"/>
    </xf>
    <xf numFmtId="169" fontId="10" fillId="0" borderId="1" xfId="1" applyNumberFormat="1" applyFont="1" applyBorder="1" applyAlignment="1">
      <alignment horizontal="left" vertical="top"/>
    </xf>
    <xf numFmtId="166" fontId="10" fillId="0" borderId="1" xfId="1" applyNumberFormat="1" applyFont="1" applyFill="1" applyBorder="1" applyAlignment="1">
      <alignment horizontal="right" vertical="top"/>
    </xf>
    <xf numFmtId="169" fontId="17" fillId="0" borderId="1" xfId="1" applyNumberFormat="1" applyFont="1" applyFill="1" applyBorder="1" applyAlignment="1">
      <alignment horizontal="left" vertical="top"/>
    </xf>
    <xf numFmtId="169" fontId="17" fillId="0" borderId="1" xfId="1" applyNumberFormat="1" applyFont="1" applyFill="1" applyBorder="1" applyAlignment="1">
      <alignment horizontal="right" vertical="top"/>
    </xf>
    <xf numFmtId="169" fontId="17" fillId="0" borderId="1" xfId="1" applyNumberFormat="1" applyFont="1" applyFill="1" applyBorder="1">
      <alignment vertical="top"/>
    </xf>
    <xf numFmtId="164" fontId="14" fillId="0" borderId="17" xfId="0" applyFont="1" applyFill="1" applyBorder="1">
      <alignment vertical="top"/>
    </xf>
    <xf numFmtId="164" fontId="14" fillId="0" borderId="18" xfId="0" applyFont="1" applyFill="1" applyBorder="1">
      <alignment vertical="top"/>
    </xf>
    <xf numFmtId="164" fontId="25" fillId="0" borderId="0" xfId="0" applyFont="1" applyFill="1" applyBorder="1">
      <alignment vertical="top"/>
    </xf>
    <xf numFmtId="164" fontId="70" fillId="0" borderId="17" xfId="0" applyFont="1" applyFill="1" applyBorder="1">
      <alignment vertical="top"/>
    </xf>
    <xf numFmtId="164" fontId="70" fillId="0" borderId="0" xfId="0" applyFont="1" applyFill="1" applyBorder="1">
      <alignment vertical="top"/>
    </xf>
    <xf numFmtId="164" fontId="25" fillId="0" borderId="0" xfId="0" applyFont="1" applyBorder="1" applyAlignment="1">
      <alignment horizontal="right" vertical="top"/>
    </xf>
    <xf numFmtId="0" fontId="22" fillId="0" borderId="18" xfId="0" applyNumberFormat="1" applyFont="1" applyFill="1" applyBorder="1" applyAlignment="1">
      <alignment horizontal="left" vertical="top" wrapText="1"/>
    </xf>
    <xf numFmtId="172" fontId="25" fillId="0" borderId="0" xfId="0" applyNumberFormat="1" applyFont="1" applyFill="1" applyBorder="1">
      <alignment vertical="top"/>
    </xf>
    <xf numFmtId="172" fontId="25" fillId="0" borderId="18" xfId="0" applyNumberFormat="1" applyFont="1" applyFill="1" applyBorder="1" applyAlignment="1">
      <alignment horizontal="left" vertical="top"/>
    </xf>
    <xf numFmtId="172" fontId="22" fillId="0" borderId="18" xfId="0" applyNumberFormat="1" applyFont="1" applyFill="1" applyBorder="1" applyAlignment="1">
      <alignment horizontal="left" vertical="top"/>
    </xf>
    <xf numFmtId="164" fontId="71" fillId="0" borderId="17" xfId="0" applyFont="1" applyFill="1" applyBorder="1">
      <alignment vertical="top"/>
    </xf>
    <xf numFmtId="164" fontId="71" fillId="0" borderId="0" xfId="0" applyFont="1" applyFill="1" applyBorder="1">
      <alignment vertical="top"/>
    </xf>
    <xf numFmtId="164" fontId="10" fillId="0" borderId="0" xfId="0" applyFont="1" applyBorder="1" applyAlignment="1">
      <alignment horizontal="right" vertical="top"/>
    </xf>
    <xf numFmtId="172" fontId="22" fillId="0" borderId="0" xfId="0" applyNumberFormat="1" applyFont="1" applyFill="1" applyBorder="1">
      <alignment vertical="top"/>
    </xf>
    <xf numFmtId="172" fontId="22" fillId="0" borderId="18" xfId="0" applyNumberFormat="1" applyFont="1" applyFill="1" applyBorder="1" applyAlignment="1">
      <alignment horizontal="left" vertical="top" wrapText="1"/>
    </xf>
    <xf numFmtId="169" fontId="21" fillId="0" borderId="18" xfId="0" applyNumberFormat="1" applyFont="1" applyFill="1" applyBorder="1" applyAlignment="1">
      <alignment horizontal="left" vertical="top"/>
    </xf>
    <xf numFmtId="164" fontId="22" fillId="0" borderId="0" xfId="0" applyFont="1" applyFill="1" applyBorder="1">
      <alignment vertical="top"/>
    </xf>
    <xf numFmtId="164" fontId="71" fillId="0" borderId="0" xfId="0" applyFont="1" applyBorder="1" applyAlignment="1">
      <alignment horizontal="right" vertical="top"/>
    </xf>
    <xf numFmtId="172" fontId="22" fillId="0" borderId="18" xfId="0" applyNumberFormat="1" applyFont="1" applyFill="1" applyBorder="1">
      <alignment vertical="top"/>
    </xf>
    <xf numFmtId="164" fontId="16" fillId="0" borderId="19" xfId="0" applyFont="1" applyFill="1" applyBorder="1">
      <alignment vertical="top"/>
    </xf>
    <xf numFmtId="164" fontId="16" fillId="0" borderId="20" xfId="0" applyFont="1" applyFill="1" applyBorder="1">
      <alignment vertical="top"/>
    </xf>
    <xf numFmtId="164" fontId="10" fillId="0" borderId="20" xfId="0" applyFont="1" applyBorder="1" applyAlignment="1">
      <alignment horizontal="right" vertical="top"/>
    </xf>
    <xf numFmtId="172" fontId="10" fillId="0" borderId="21" xfId="0" applyNumberFormat="1" applyFont="1" applyFill="1" applyBorder="1">
      <alignment vertical="top"/>
    </xf>
    <xf numFmtId="172" fontId="10" fillId="0" borderId="0" xfId="0" applyNumberFormat="1" applyFont="1" applyFill="1" applyBorder="1">
      <alignment vertical="top"/>
    </xf>
    <xf numFmtId="164" fontId="19" fillId="0" borderId="0" xfId="0" applyFont="1" applyFill="1" applyBorder="1">
      <alignment vertical="top"/>
    </xf>
    <xf numFmtId="164" fontId="19" fillId="3" borderId="22" xfId="0" applyFont="1" applyFill="1" applyBorder="1">
      <alignment vertical="top"/>
    </xf>
    <xf numFmtId="164" fontId="6" fillId="3" borderId="23" xfId="0" applyFont="1" applyFill="1" applyBorder="1" applyAlignment="1">
      <alignment horizontal="centerContinuous" vertical="top"/>
    </xf>
    <xf numFmtId="164" fontId="19" fillId="3" borderId="23" xfId="0" applyFont="1" applyFill="1" applyBorder="1" applyAlignment="1">
      <alignment horizontal="centerContinuous" vertical="top"/>
    </xf>
    <xf numFmtId="164" fontId="19" fillId="3" borderId="24" xfId="0" applyFont="1" applyFill="1" applyBorder="1" applyAlignment="1">
      <alignment horizontal="centerContinuous" vertical="top"/>
    </xf>
    <xf numFmtId="164" fontId="6" fillId="0" borderId="0" xfId="0" applyFont="1" applyFill="1" applyBorder="1">
      <alignment vertical="top"/>
    </xf>
    <xf numFmtId="164" fontId="14" fillId="0" borderId="25" xfId="0" applyFont="1" applyFill="1" applyBorder="1">
      <alignment vertical="top"/>
    </xf>
    <xf numFmtId="164" fontId="10" fillId="0" borderId="26" xfId="0" applyFont="1" applyFill="1" applyBorder="1">
      <alignment vertical="top"/>
    </xf>
    <xf numFmtId="164" fontId="14" fillId="0" borderId="26" xfId="0" applyFont="1" applyFill="1" applyBorder="1" applyAlignment="1">
      <alignment horizontal="left" vertical="top"/>
    </xf>
    <xf numFmtId="164" fontId="14" fillId="0" borderId="27" xfId="0" applyFont="1" applyFill="1" applyBorder="1">
      <alignment vertical="top"/>
    </xf>
    <xf numFmtId="164" fontId="68" fillId="0" borderId="0" xfId="0" applyFont="1" applyFill="1" applyBorder="1">
      <alignment vertical="top"/>
    </xf>
    <xf numFmtId="164" fontId="14" fillId="0" borderId="0" xfId="0" applyFont="1" applyBorder="1" applyAlignment="1">
      <alignment horizontal="right" vertical="top"/>
    </xf>
    <xf numFmtId="172" fontId="14" fillId="0" borderId="0" xfId="0" applyNumberFormat="1" applyFont="1" applyFill="1" applyBorder="1" applyAlignment="1">
      <alignment horizontal="left" vertical="top"/>
    </xf>
    <xf numFmtId="172" fontId="11" fillId="0" borderId="0" xfId="0" applyNumberFormat="1" applyFont="1" applyFill="1">
      <alignment vertical="top"/>
    </xf>
    <xf numFmtId="164" fontId="72" fillId="0" borderId="0" xfId="0" applyFont="1" applyFill="1">
      <alignment vertical="top"/>
    </xf>
    <xf numFmtId="164" fontId="64" fillId="0" borderId="0" xfId="0" applyFont="1" applyAlignment="1">
      <alignment horizontal="right" vertical="top"/>
    </xf>
    <xf numFmtId="172" fontId="59" fillId="0" borderId="0" xfId="0" applyNumberFormat="1" applyFont="1" applyFill="1" applyAlignment="1">
      <alignment horizontal="center" vertical="top"/>
    </xf>
    <xf numFmtId="164" fontId="16" fillId="0" borderId="17" xfId="0" applyFont="1" applyFill="1" applyBorder="1">
      <alignment vertical="top"/>
    </xf>
    <xf numFmtId="172" fontId="10" fillId="0" borderId="18" xfId="0" applyNumberFormat="1" applyFont="1" applyFill="1" applyBorder="1" applyAlignment="1">
      <alignment horizontal="left" vertical="top" wrapText="1"/>
    </xf>
    <xf numFmtId="172" fontId="10" fillId="0" borderId="18" xfId="0" applyNumberFormat="1" applyFont="1" applyFill="1" applyBorder="1">
      <alignment vertical="top"/>
    </xf>
    <xf numFmtId="164" fontId="16" fillId="0" borderId="0" xfId="0" applyFont="1" applyBorder="1" applyAlignment="1">
      <alignment horizontal="right" vertical="top"/>
    </xf>
    <xf numFmtId="172" fontId="10" fillId="0" borderId="18" xfId="0" quotePrefix="1" applyNumberFormat="1" applyFont="1" applyFill="1" applyBorder="1">
      <alignment vertical="top"/>
    </xf>
    <xf numFmtId="172" fontId="10" fillId="0" borderId="20" xfId="0" applyNumberFormat="1" applyFont="1" applyFill="1" applyBorder="1">
      <alignment vertical="top"/>
    </xf>
    <xf numFmtId="172" fontId="14" fillId="0" borderId="18" xfId="0" applyNumberFormat="1" applyFont="1" applyFill="1" applyBorder="1">
      <alignment vertical="top"/>
    </xf>
    <xf numFmtId="164" fontId="68" fillId="0" borderId="17" xfId="0" applyFont="1" applyFill="1" applyBorder="1">
      <alignment vertical="top"/>
    </xf>
    <xf numFmtId="164" fontId="68" fillId="0" borderId="19" xfId="0" applyFont="1" applyFill="1" applyBorder="1">
      <alignment vertical="top"/>
    </xf>
    <xf numFmtId="164" fontId="68" fillId="0" borderId="20" xfId="0" applyFont="1" applyFill="1" applyBorder="1">
      <alignment vertical="top"/>
    </xf>
    <xf numFmtId="164" fontId="14" fillId="0" borderId="20" xfId="0" applyFont="1" applyBorder="1" applyAlignment="1">
      <alignment horizontal="right" vertical="top"/>
    </xf>
    <xf numFmtId="172" fontId="21" fillId="0" borderId="0" xfId="0" applyNumberFormat="1" applyFont="1" applyFill="1" applyBorder="1" applyAlignment="1">
      <alignment horizontal="left" vertical="top"/>
    </xf>
    <xf numFmtId="0" fontId="21" fillId="0" borderId="18" xfId="0" applyNumberFormat="1" applyFont="1" applyFill="1" applyBorder="1" applyAlignment="1">
      <alignment horizontal="left" vertical="top" wrapText="1"/>
    </xf>
    <xf numFmtId="172" fontId="14" fillId="0" borderId="21" xfId="0" applyNumberFormat="1" applyFont="1" applyFill="1" applyBorder="1">
      <alignment vertical="top"/>
    </xf>
    <xf numFmtId="165" fontId="52" fillId="0" borderId="18" xfId="18" applyNumberFormat="1" applyFill="1" applyBorder="1" applyAlignment="1">
      <alignment horizontal="left" vertical="top"/>
    </xf>
    <xf numFmtId="164" fontId="74" fillId="0" borderId="0" xfId="1" applyFont="1" applyBorder="1" applyAlignment="1">
      <alignment horizontal="left" vertical="top"/>
    </xf>
    <xf numFmtId="169" fontId="13" fillId="0" borderId="0" xfId="1" applyNumberFormat="1" applyFont="1">
      <alignment vertical="top"/>
    </xf>
    <xf numFmtId="176" fontId="13" fillId="0" borderId="0" xfId="1" applyNumberFormat="1" applyFont="1">
      <alignment vertical="top"/>
    </xf>
    <xf numFmtId="169" fontId="10" fillId="0" borderId="0" xfId="1" applyNumberFormat="1" applyFont="1">
      <alignment vertical="top"/>
    </xf>
    <xf numFmtId="169" fontId="10" fillId="0" borderId="0" xfId="1" applyNumberFormat="1" applyFont="1" applyFill="1" applyBorder="1">
      <alignment vertical="top"/>
    </xf>
    <xf numFmtId="165" fontId="10" fillId="2" borderId="0" xfId="22" applyFont="1" applyFill="1" applyBorder="1">
      <alignment vertical="top"/>
    </xf>
    <xf numFmtId="172" fontId="10" fillId="0" borderId="0" xfId="1" applyNumberFormat="1" applyFont="1" applyFill="1">
      <alignment vertical="top"/>
    </xf>
    <xf numFmtId="164" fontId="10" fillId="6" borderId="0" xfId="1" applyFont="1" applyFill="1">
      <alignment vertical="top"/>
    </xf>
    <xf numFmtId="177" fontId="18" fillId="0" borderId="0" xfId="1" applyNumberFormat="1" applyFont="1" applyBorder="1" applyAlignment="1">
      <alignment horizontal="left" vertical="top"/>
    </xf>
    <xf numFmtId="169" fontId="18" fillId="0" borderId="0" xfId="1" applyNumberFormat="1" applyFont="1" applyBorder="1">
      <alignment vertical="top"/>
    </xf>
    <xf numFmtId="176" fontId="10" fillId="0" borderId="0" xfId="1" applyNumberFormat="1" applyFont="1">
      <alignment vertical="top"/>
    </xf>
    <xf numFmtId="164" fontId="18" fillId="0" borderId="0" xfId="1" applyFont="1" applyBorder="1" applyAlignment="1">
      <alignment horizontal="left" vertical="top"/>
    </xf>
    <xf numFmtId="169" fontId="68" fillId="0" borderId="0" xfId="1" applyNumberFormat="1" applyFont="1" applyBorder="1">
      <alignment vertical="top"/>
    </xf>
    <xf numFmtId="176" fontId="16" fillId="0" borderId="0" xfId="1" applyNumberFormat="1" applyFont="1" applyBorder="1">
      <alignment vertical="top"/>
    </xf>
    <xf numFmtId="177" fontId="69" fillId="2" borderId="0" xfId="1" applyNumberFormat="1" applyFont="1" applyFill="1" applyBorder="1">
      <alignment vertical="top"/>
    </xf>
    <xf numFmtId="169" fontId="14" fillId="0" borderId="0" xfId="1" applyNumberFormat="1" applyFont="1" applyFill="1" applyBorder="1">
      <alignment vertical="top"/>
    </xf>
    <xf numFmtId="177" fontId="14" fillId="2" borderId="0" xfId="1" applyNumberFormat="1" applyFont="1" applyFill="1" applyBorder="1">
      <alignment vertical="top"/>
    </xf>
    <xf numFmtId="164" fontId="18" fillId="2" borderId="0" xfId="1" applyFont="1" applyFill="1" applyBorder="1">
      <alignment vertical="top"/>
    </xf>
    <xf numFmtId="164" fontId="14" fillId="0" borderId="0" xfId="1" applyFont="1" applyFill="1" applyBorder="1" applyAlignment="1">
      <alignment horizontal="left" vertical="top"/>
    </xf>
    <xf numFmtId="169" fontId="16" fillId="0" borderId="0" xfId="1" applyNumberFormat="1" applyFont="1" applyBorder="1">
      <alignment vertical="top"/>
    </xf>
    <xf numFmtId="169" fontId="10" fillId="2" borderId="0" xfId="1" applyNumberFormat="1" applyFont="1" applyFill="1">
      <alignment vertical="top"/>
    </xf>
    <xf numFmtId="164" fontId="14" fillId="2" borderId="0" xfId="1" applyFont="1" applyFill="1">
      <alignment vertical="top"/>
    </xf>
    <xf numFmtId="164" fontId="16" fillId="2" borderId="0" xfId="1" applyFont="1" applyFill="1">
      <alignment vertical="top"/>
    </xf>
    <xf numFmtId="164" fontId="10" fillId="2" borderId="0" xfId="1" applyFont="1" applyFill="1" applyAlignment="1">
      <alignment horizontal="right" vertical="top"/>
    </xf>
    <xf numFmtId="164" fontId="10" fillId="2" borderId="0" xfId="1" applyFont="1" applyFill="1">
      <alignment vertical="top"/>
    </xf>
    <xf numFmtId="176" fontId="10" fillId="2" borderId="0" xfId="1" applyNumberFormat="1" applyFont="1" applyFill="1">
      <alignment vertical="top"/>
    </xf>
    <xf numFmtId="164" fontId="18" fillId="2" borderId="0" xfId="1" applyFont="1" applyFill="1">
      <alignment vertical="top"/>
    </xf>
    <xf numFmtId="164" fontId="19" fillId="5" borderId="0" xfId="1" applyFont="1" applyFill="1" applyBorder="1">
      <alignment vertical="top"/>
    </xf>
    <xf numFmtId="164" fontId="75" fillId="5" borderId="0" xfId="1" applyFont="1" applyFill="1" applyBorder="1">
      <alignment vertical="top"/>
    </xf>
    <xf numFmtId="164" fontId="6" fillId="5" borderId="0" xfId="1" applyFont="1" applyFill="1" applyBorder="1" applyAlignment="1">
      <alignment horizontal="right" vertical="top"/>
    </xf>
    <xf numFmtId="164" fontId="6" fillId="5" borderId="0" xfId="1" applyFont="1" applyFill="1" applyBorder="1">
      <alignment vertical="top"/>
    </xf>
    <xf numFmtId="169" fontId="6" fillId="5" borderId="0" xfId="1" applyNumberFormat="1" applyFont="1" applyFill="1" applyBorder="1">
      <alignment vertical="top"/>
    </xf>
    <xf numFmtId="169" fontId="76" fillId="5" borderId="0" xfId="1" applyNumberFormat="1" applyFont="1" applyFill="1" applyBorder="1">
      <alignment vertical="top"/>
    </xf>
    <xf numFmtId="168" fontId="76" fillId="5" borderId="0" xfId="25" applyFont="1" applyFill="1" applyBorder="1">
      <alignment vertical="top"/>
    </xf>
    <xf numFmtId="164" fontId="73" fillId="2" borderId="0" xfId="1" applyFont="1" applyFill="1" applyBorder="1">
      <alignment vertical="top"/>
    </xf>
    <xf numFmtId="164" fontId="76" fillId="2" borderId="0" xfId="1" applyFont="1" applyFill="1" applyBorder="1">
      <alignment vertical="top"/>
    </xf>
    <xf numFmtId="172" fontId="14" fillId="0" borderId="0" xfId="1" applyNumberFormat="1" applyFont="1" applyFill="1" applyBorder="1">
      <alignment vertical="top"/>
    </xf>
    <xf numFmtId="172" fontId="10" fillId="0" borderId="0" xfId="1" applyNumberFormat="1" applyFont="1" applyFill="1" applyBorder="1" applyAlignment="1">
      <alignment horizontal="right" vertical="top"/>
    </xf>
    <xf numFmtId="169" fontId="31" fillId="0" borderId="0" xfId="1" applyNumberFormat="1" applyFont="1" applyFill="1">
      <alignment vertical="top"/>
    </xf>
    <xf numFmtId="169" fontId="10" fillId="0" borderId="0" xfId="1" applyNumberFormat="1" applyFont="1" applyFill="1">
      <alignment vertical="top"/>
    </xf>
    <xf numFmtId="169" fontId="10" fillId="14" borderId="0" xfId="1" applyNumberFormat="1" applyFont="1" applyFill="1">
      <alignment vertical="top"/>
    </xf>
    <xf numFmtId="166" fontId="18" fillId="2" borderId="0" xfId="1" applyNumberFormat="1" applyFont="1" applyFill="1" applyBorder="1">
      <alignment vertical="top"/>
    </xf>
    <xf numFmtId="166" fontId="31" fillId="2" borderId="0" xfId="1" applyNumberFormat="1" applyFont="1" applyFill="1" applyBorder="1">
      <alignment vertical="top"/>
    </xf>
    <xf numFmtId="164" fontId="31" fillId="0" borderId="0" xfId="1" applyFont="1" applyFill="1" applyBorder="1">
      <alignment vertical="top"/>
    </xf>
    <xf numFmtId="169" fontId="31" fillId="0" borderId="0" xfId="1" applyNumberFormat="1" applyFont="1" applyFill="1" applyBorder="1">
      <alignment vertical="top"/>
    </xf>
    <xf numFmtId="169" fontId="10" fillId="13" borderId="0" xfId="1" applyNumberFormat="1" applyFont="1" applyFill="1" applyBorder="1">
      <alignment vertical="top"/>
    </xf>
    <xf numFmtId="172" fontId="16" fillId="0" borderId="0" xfId="1" applyNumberFormat="1" applyFont="1" applyFill="1" applyBorder="1">
      <alignment vertical="top"/>
    </xf>
    <xf numFmtId="172" fontId="31" fillId="0" borderId="0" xfId="1" applyNumberFormat="1" applyFont="1" applyFill="1">
      <alignment vertical="top"/>
    </xf>
    <xf numFmtId="176" fontId="31" fillId="0" borderId="0" xfId="1" applyNumberFormat="1" applyFont="1" applyFill="1">
      <alignment vertical="top"/>
    </xf>
    <xf numFmtId="165" fontId="10" fillId="0" borderId="0" xfId="22">
      <alignment vertical="top"/>
    </xf>
    <xf numFmtId="171" fontId="10" fillId="0" borderId="0" xfId="17" applyFont="1">
      <alignment vertical="top"/>
    </xf>
    <xf numFmtId="178" fontId="10" fillId="0" borderId="0" xfId="22" applyNumberFormat="1" applyFill="1">
      <alignment vertical="top"/>
    </xf>
    <xf numFmtId="176" fontId="10" fillId="0" borderId="0" xfId="1" applyNumberFormat="1" applyFont="1" applyFill="1">
      <alignment vertical="top"/>
    </xf>
    <xf numFmtId="165" fontId="10" fillId="2" borderId="0" xfId="22" applyFill="1" applyBorder="1">
      <alignment vertical="top"/>
    </xf>
    <xf numFmtId="178" fontId="10" fillId="0" borderId="0" xfId="22" applyNumberFormat="1">
      <alignment vertical="top"/>
    </xf>
    <xf numFmtId="179" fontId="10" fillId="0" borderId="0" xfId="1" applyNumberFormat="1" applyFont="1">
      <alignment vertical="top"/>
    </xf>
    <xf numFmtId="178" fontId="10" fillId="2" borderId="0" xfId="22" applyNumberFormat="1" applyFill="1" applyBorder="1">
      <alignment vertical="top"/>
    </xf>
    <xf numFmtId="172" fontId="14" fillId="2" borderId="0" xfId="1" applyNumberFormat="1" applyFont="1" applyFill="1" applyBorder="1">
      <alignment vertical="top"/>
    </xf>
    <xf numFmtId="172" fontId="16" fillId="2" borderId="0" xfId="1" applyNumberFormat="1" applyFont="1" applyFill="1" applyBorder="1">
      <alignment vertical="top"/>
    </xf>
    <xf numFmtId="172" fontId="10" fillId="2" borderId="0" xfId="1" applyNumberFormat="1" applyFont="1" applyFill="1" applyBorder="1" applyAlignment="1">
      <alignment horizontal="right" vertical="top"/>
    </xf>
    <xf numFmtId="172" fontId="10" fillId="2" borderId="0" xfId="1" applyNumberFormat="1" applyFont="1" applyFill="1" applyAlignment="1">
      <alignment horizontal="right"/>
    </xf>
    <xf numFmtId="172" fontId="10" fillId="2" borderId="0" xfId="1" applyNumberFormat="1" applyFont="1" applyFill="1" applyAlignment="1">
      <alignment horizontal="left"/>
    </xf>
    <xf numFmtId="169" fontId="10" fillId="12" borderId="0" xfId="1" applyNumberFormat="1" applyFont="1" applyFill="1">
      <alignment vertical="top"/>
    </xf>
    <xf numFmtId="168" fontId="10" fillId="13" borderId="0" xfId="8" applyFont="1" applyFill="1" applyBorder="1">
      <alignment vertical="top"/>
    </xf>
    <xf numFmtId="164" fontId="5" fillId="0" borderId="0" xfId="0" applyFont="1" applyFill="1" applyBorder="1">
      <alignment vertical="top"/>
    </xf>
    <xf numFmtId="164" fontId="0" fillId="0" borderId="0" xfId="0" applyFill="1" applyBorder="1">
      <alignment vertical="top"/>
    </xf>
    <xf numFmtId="164" fontId="4" fillId="3" borderId="0" xfId="1" applyFont="1" applyFill="1" applyBorder="1">
      <alignment vertical="top"/>
    </xf>
    <xf numFmtId="164" fontId="19" fillId="3" borderId="0" xfId="0" applyFont="1" applyFill="1" applyBorder="1">
      <alignment vertical="top"/>
    </xf>
    <xf numFmtId="164" fontId="4" fillId="3" borderId="0" xfId="0" applyFont="1" applyFill="1" applyBorder="1">
      <alignment vertical="top"/>
    </xf>
    <xf numFmtId="164" fontId="19" fillId="3" borderId="0" xfId="0" applyFont="1" applyFill="1" applyBorder="1" applyAlignment="1">
      <alignment horizontal="right" vertical="top"/>
    </xf>
    <xf numFmtId="164" fontId="0" fillId="0" borderId="0" xfId="0" applyFont="1" applyAlignment="1">
      <alignment horizontal="right"/>
    </xf>
    <xf numFmtId="171" fontId="10" fillId="0" borderId="0" xfId="17" applyFont="1" applyAlignment="1">
      <alignment horizontal="left" vertical="top"/>
    </xf>
    <xf numFmtId="171" fontId="10" fillId="12" borderId="2" xfId="17" applyFont="1" applyFill="1" applyBorder="1">
      <alignment vertical="top"/>
    </xf>
    <xf numFmtId="171" fontId="10" fillId="0" borderId="0" xfId="17" applyFont="1" applyAlignment="1">
      <alignment horizontal="right" vertical="top"/>
    </xf>
    <xf numFmtId="164" fontId="21" fillId="0" borderId="0" xfId="0" applyFont="1" applyFill="1" applyBorder="1" applyAlignment="1">
      <alignment horizontal="right" vertical="top"/>
    </xf>
    <xf numFmtId="172" fontId="10" fillId="0" borderId="0" xfId="0" applyNumberFormat="1" applyFont="1" applyBorder="1">
      <alignment vertical="top"/>
    </xf>
    <xf numFmtId="171" fontId="10" fillId="0" borderId="0" xfId="17" applyFont="1" applyFill="1" applyBorder="1">
      <alignment vertical="top"/>
    </xf>
    <xf numFmtId="181" fontId="10" fillId="12" borderId="2" xfId="0" applyNumberFormat="1" applyFont="1" applyFill="1" applyBorder="1">
      <alignment vertical="top"/>
    </xf>
    <xf numFmtId="181" fontId="10" fillId="0" borderId="0" xfId="0" applyNumberFormat="1" applyFont="1" applyAlignment="1">
      <alignment horizontal="right" vertical="top"/>
    </xf>
    <xf numFmtId="181" fontId="10" fillId="0" borderId="0" xfId="0" applyNumberFormat="1" applyFont="1">
      <alignment vertical="top"/>
    </xf>
    <xf numFmtId="164" fontId="10" fillId="13" borderId="2" xfId="1" applyFont="1" applyFill="1" applyBorder="1" applyAlignment="1">
      <alignment horizontal="center" vertical="top"/>
    </xf>
    <xf numFmtId="172" fontId="10" fillId="0" borderId="0" xfId="0" applyNumberFormat="1" applyFont="1" applyFill="1" applyBorder="1" applyAlignment="1">
      <alignment horizontal="right"/>
    </xf>
    <xf numFmtId="164" fontId="0" fillId="0" borderId="0" xfId="0" applyFont="1" applyFill="1">
      <alignment vertical="top"/>
    </xf>
    <xf numFmtId="164" fontId="4" fillId="0" borderId="0" xfId="0" applyFont="1" applyFill="1" applyBorder="1">
      <alignment vertical="top"/>
    </xf>
    <xf numFmtId="164" fontId="19" fillId="0" borderId="0" xfId="0" applyFont="1" applyFill="1" applyBorder="1" applyAlignment="1">
      <alignment horizontal="right" vertical="top"/>
    </xf>
    <xf numFmtId="167" fontId="10" fillId="0" borderId="0" xfId="24" quotePrefix="1" applyFont="1" applyFill="1" applyAlignment="1">
      <alignment horizontal="left" vertical="top"/>
    </xf>
    <xf numFmtId="169" fontId="10" fillId="0" borderId="0" xfId="24" applyNumberFormat="1" applyFont="1" applyBorder="1">
      <alignment vertical="top"/>
    </xf>
    <xf numFmtId="43" fontId="10" fillId="0" borderId="0" xfId="19" applyFont="1" applyFill="1" applyAlignment="1">
      <alignment horizontal="right" vertical="top"/>
    </xf>
    <xf numFmtId="169" fontId="10" fillId="0" borderId="0" xfId="24" applyNumberFormat="1" applyFont="1" applyFill="1">
      <alignment vertical="top"/>
    </xf>
    <xf numFmtId="164" fontId="33" fillId="0" borderId="0" xfId="0" applyFont="1" applyFill="1">
      <alignment vertical="top"/>
    </xf>
    <xf numFmtId="165" fontId="10" fillId="2" borderId="0" xfId="22" applyFont="1" applyFill="1" applyBorder="1" applyAlignment="1">
      <alignment horizontal="right" vertical="top"/>
    </xf>
    <xf numFmtId="169" fontId="23" fillId="0" borderId="0" xfId="1" applyNumberFormat="1" applyFont="1" applyFill="1" applyBorder="1" applyAlignment="1">
      <alignment horizontal="right" vertical="top"/>
    </xf>
    <xf numFmtId="169" fontId="23" fillId="0" borderId="0" xfId="1" applyNumberFormat="1" applyFont="1" applyFill="1" applyBorder="1" applyAlignment="1">
      <alignment horizontal="left" vertical="top"/>
    </xf>
    <xf numFmtId="169" fontId="36" fillId="0" borderId="0" xfId="3" applyNumberFormat="1" applyFont="1">
      <alignment vertical="top"/>
    </xf>
    <xf numFmtId="169" fontId="0" fillId="0" borderId="0" xfId="3" applyNumberFormat="1" applyFont="1" applyFill="1">
      <alignment vertical="top"/>
    </xf>
    <xf numFmtId="168" fontId="10" fillId="0" borderId="0" xfId="8" applyFont="1">
      <alignment vertical="top"/>
    </xf>
    <xf numFmtId="164" fontId="21" fillId="0" borderId="0" xfId="3" applyNumberFormat="1" applyFont="1" applyBorder="1">
      <alignment vertical="top"/>
    </xf>
    <xf numFmtId="164" fontId="4" fillId="0" borderId="0" xfId="1" applyFont="1">
      <alignment vertical="top"/>
    </xf>
    <xf numFmtId="164" fontId="62" fillId="0" borderId="29" xfId="1" applyFont="1" applyFill="1" applyBorder="1" applyAlignment="1">
      <alignment horizontal="centerContinuous" vertical="top"/>
    </xf>
    <xf numFmtId="164" fontId="63" fillId="0" borderId="30" xfId="1" applyFont="1" applyFill="1" applyBorder="1" applyAlignment="1">
      <alignment horizontal="centerContinuous" vertical="top"/>
    </xf>
    <xf numFmtId="164" fontId="64" fillId="0" borderId="30" xfId="1" applyFont="1" applyFill="1" applyBorder="1" applyAlignment="1">
      <alignment horizontal="centerContinuous" vertical="top"/>
    </xf>
    <xf numFmtId="164" fontId="62" fillId="0" borderId="30" xfId="1" applyFont="1" applyFill="1" applyBorder="1" applyAlignment="1">
      <alignment horizontal="centerContinuous" vertical="top"/>
    </xf>
    <xf numFmtId="164" fontId="61" fillId="0" borderId="30" xfId="1" applyFont="1" applyFill="1" applyBorder="1">
      <alignment vertical="top"/>
    </xf>
    <xf numFmtId="164" fontId="61" fillId="0" borderId="31" xfId="1" applyFont="1" applyFill="1" applyBorder="1">
      <alignment vertical="top"/>
    </xf>
    <xf numFmtId="164" fontId="61" fillId="0" borderId="0" xfId="1" applyFont="1" applyFill="1" applyBorder="1">
      <alignment vertical="top"/>
    </xf>
    <xf numFmtId="164" fontId="61" fillId="0" borderId="11" xfId="1" applyFont="1" applyFill="1" applyBorder="1">
      <alignment vertical="top"/>
    </xf>
    <xf numFmtId="164" fontId="10" fillId="3" borderId="0" xfId="1" applyFont="1" applyFill="1" applyBorder="1" applyAlignment="1">
      <alignment horizontal="left" vertical="top"/>
    </xf>
    <xf numFmtId="169" fontId="17" fillId="0" borderId="0" xfId="3" applyNumberFormat="1" applyFont="1" applyFill="1" applyBorder="1" applyAlignment="1">
      <alignment horizontal="right" vertical="top"/>
    </xf>
    <xf numFmtId="1" fontId="21" fillId="0" borderId="0" xfId="8" applyNumberFormat="1" applyFont="1" applyFill="1" applyAlignment="1" applyProtection="1">
      <alignment horizontal="left" vertical="center" indent="1"/>
    </xf>
    <xf numFmtId="164" fontId="35" fillId="0" borderId="0" xfId="0" applyFont="1" applyFill="1" applyBorder="1">
      <alignment vertical="top"/>
    </xf>
    <xf numFmtId="172" fontId="52" fillId="0" borderId="18" xfId="18" applyNumberFormat="1" applyFill="1" applyBorder="1">
      <alignment vertical="top"/>
    </xf>
    <xf numFmtId="169" fontId="35" fillId="0" borderId="0" xfId="3" applyNumberFormat="1" applyFont="1">
      <alignment vertical="top"/>
    </xf>
    <xf numFmtId="166" fontId="21" fillId="0" borderId="0" xfId="3" applyNumberFormat="1" applyFont="1">
      <alignment vertical="top"/>
    </xf>
    <xf numFmtId="169" fontId="21" fillId="0" borderId="0" xfId="3" quotePrefix="1" applyNumberFormat="1" applyFont="1" applyFill="1">
      <alignment vertical="top"/>
    </xf>
    <xf numFmtId="169" fontId="21" fillId="0" borderId="0" xfId="3" quotePrefix="1" applyNumberFormat="1" applyFont="1" applyFill="1" applyAlignment="1">
      <alignment horizontal="right" vertical="top"/>
    </xf>
    <xf numFmtId="164" fontId="10" fillId="22" borderId="0" xfId="0" applyFont="1" applyFill="1">
      <alignment vertical="top"/>
    </xf>
    <xf numFmtId="166" fontId="17" fillId="18" borderId="2" xfId="1" applyNumberFormat="1" applyFont="1" applyFill="1" applyBorder="1" applyAlignment="1">
      <alignment horizontal="center" vertical="top"/>
    </xf>
    <xf numFmtId="166" fontId="17" fillId="13" borderId="2" xfId="1" applyNumberFormat="1" applyFont="1" applyFill="1" applyBorder="1" applyAlignment="1">
      <alignment horizontal="center" vertical="top"/>
    </xf>
    <xf numFmtId="164" fontId="28" fillId="0" borderId="0" xfId="0" applyFont="1" applyFill="1">
      <alignment vertical="top"/>
    </xf>
    <xf numFmtId="164" fontId="18" fillId="0" borderId="0" xfId="1" applyFont="1" applyFill="1">
      <alignment vertical="top"/>
    </xf>
    <xf numFmtId="164" fontId="6" fillId="0" borderId="0" xfId="1" applyFont="1" applyFill="1">
      <alignment vertical="top"/>
    </xf>
    <xf numFmtId="164" fontId="28" fillId="0" borderId="0" xfId="1" applyFont="1" applyFill="1">
      <alignment vertical="top"/>
    </xf>
    <xf numFmtId="169" fontId="17" fillId="0" borderId="1" xfId="3" applyNumberFormat="1" applyFont="1" applyFill="1" applyBorder="1">
      <alignment vertical="top"/>
    </xf>
    <xf numFmtId="169" fontId="10" fillId="20" borderId="0" xfId="1" applyNumberFormat="1" applyFont="1" applyFill="1" applyBorder="1">
      <alignment vertical="top"/>
    </xf>
    <xf numFmtId="164" fontId="77" fillId="0" borderId="0" xfId="1" applyFont="1">
      <alignment vertical="top"/>
    </xf>
    <xf numFmtId="168" fontId="10" fillId="0" borderId="0" xfId="4" applyFont="1" applyFill="1">
      <alignment vertical="top"/>
    </xf>
    <xf numFmtId="166" fontId="10" fillId="0" borderId="0" xfId="1" applyNumberFormat="1" applyFont="1" applyFill="1">
      <alignment vertical="top"/>
    </xf>
    <xf numFmtId="166" fontId="10" fillId="0" borderId="0" xfId="0" applyNumberFormat="1" applyFont="1" applyFill="1">
      <alignment vertical="top"/>
    </xf>
    <xf numFmtId="164" fontId="30" fillId="0" borderId="0" xfId="1" applyFont="1" applyAlignment="1">
      <alignment horizontal="right" vertical="top"/>
    </xf>
    <xf numFmtId="169" fontId="10" fillId="0" borderId="1" xfId="3" applyNumberFormat="1" applyFont="1" applyBorder="1" applyAlignment="1">
      <alignment horizontal="right" vertical="top"/>
    </xf>
    <xf numFmtId="169" fontId="10" fillId="0" borderId="0" xfId="3" applyNumberFormat="1" applyFont="1" applyAlignment="1">
      <alignment horizontal="right" vertical="top"/>
    </xf>
    <xf numFmtId="164" fontId="23" fillId="0" borderId="1" xfId="1" applyFont="1" applyBorder="1" applyAlignment="1">
      <alignment horizontal="right" vertical="top"/>
    </xf>
    <xf numFmtId="164" fontId="17" fillId="0" borderId="0" xfId="1" applyFont="1" applyAlignment="1">
      <alignment horizontal="left" vertical="center"/>
    </xf>
    <xf numFmtId="167" fontId="17" fillId="0" borderId="0" xfId="3" applyFont="1" applyFill="1">
      <alignment vertical="top"/>
    </xf>
    <xf numFmtId="167" fontId="10" fillId="0" borderId="0" xfId="3" applyFont="1" applyFill="1">
      <alignment vertical="top"/>
    </xf>
    <xf numFmtId="164" fontId="21" fillId="0" borderId="1" xfId="1" applyFont="1" applyBorder="1" applyAlignment="1">
      <alignment horizontal="left" vertical="top"/>
    </xf>
    <xf numFmtId="166" fontId="21" fillId="0" borderId="1" xfId="1" applyNumberFormat="1" applyFont="1" applyFill="1" applyBorder="1" applyAlignment="1">
      <alignment horizontal="center" vertical="top"/>
    </xf>
    <xf numFmtId="166" fontId="21" fillId="0" borderId="0" xfId="1" applyNumberFormat="1" applyFont="1" applyFill="1" applyBorder="1" applyAlignment="1">
      <alignment horizontal="center" vertical="top"/>
    </xf>
    <xf numFmtId="167" fontId="21" fillId="0" borderId="0" xfId="3" quotePrefix="1" applyFont="1" applyFill="1" applyAlignment="1">
      <alignment horizontal="left" vertical="top"/>
    </xf>
    <xf numFmtId="169" fontId="14" fillId="20" borderId="0" xfId="1" applyNumberFormat="1" applyFont="1" applyFill="1" applyBorder="1">
      <alignment vertical="top"/>
    </xf>
    <xf numFmtId="164" fontId="58" fillId="0" borderId="0" xfId="0" applyFont="1" applyFill="1" applyBorder="1">
      <alignment vertical="top"/>
    </xf>
    <xf numFmtId="164" fontId="78" fillId="0" borderId="0" xfId="0" applyFont="1" applyFill="1" applyBorder="1">
      <alignment vertical="top"/>
    </xf>
    <xf numFmtId="164" fontId="79" fillId="0" borderId="0" xfId="0" applyFont="1" applyFill="1" applyBorder="1">
      <alignment vertical="top"/>
    </xf>
    <xf numFmtId="164" fontId="78" fillId="0" borderId="0" xfId="0" applyFont="1" applyFill="1" applyBorder="1" applyAlignment="1">
      <alignment horizontal="right" vertical="top"/>
    </xf>
    <xf numFmtId="164" fontId="78" fillId="0" borderId="0" xfId="1" applyFont="1" applyFill="1" applyBorder="1">
      <alignment vertical="top"/>
    </xf>
    <xf numFmtId="164" fontId="58" fillId="0" borderId="0" xfId="1" applyFont="1" applyFill="1" applyBorder="1">
      <alignment vertical="top"/>
    </xf>
    <xf numFmtId="164" fontId="80" fillId="0" borderId="0" xfId="1" applyFont="1" applyFill="1">
      <alignment vertical="top"/>
    </xf>
    <xf numFmtId="164" fontId="81" fillId="0" borderId="0" xfId="1" applyFont="1" applyFill="1">
      <alignment vertical="top"/>
    </xf>
    <xf numFmtId="164" fontId="58" fillId="0" borderId="0" xfId="1" applyFont="1" applyFill="1" applyAlignment="1">
      <alignment horizontal="left" vertical="top"/>
    </xf>
    <xf numFmtId="169" fontId="58" fillId="0" borderId="0" xfId="1" applyNumberFormat="1" applyFont="1" applyFill="1" applyBorder="1" applyAlignment="1">
      <alignment horizontal="left" vertical="top"/>
    </xf>
    <xf numFmtId="169" fontId="58" fillId="0" borderId="0" xfId="1" applyNumberFormat="1" applyFont="1" applyFill="1" applyBorder="1" applyAlignment="1">
      <alignment horizontal="right" vertical="top"/>
    </xf>
    <xf numFmtId="169" fontId="58" fillId="0" borderId="0" xfId="3" applyNumberFormat="1" applyFont="1" applyFill="1" applyBorder="1">
      <alignment vertical="top"/>
    </xf>
    <xf numFmtId="164" fontId="82" fillId="0" borderId="0" xfId="0" applyFont="1" applyFill="1" applyAlignment="1"/>
    <xf numFmtId="169" fontId="23" fillId="0" borderId="0" xfId="3" applyNumberFormat="1" applyFont="1" applyFill="1" applyBorder="1" applyAlignment="1">
      <alignment horizontal="right" vertical="top"/>
    </xf>
    <xf numFmtId="0" fontId="64" fillId="0" borderId="0" xfId="0" applyNumberFormat="1" applyFont="1" applyFill="1" applyBorder="1" applyAlignment="1">
      <alignment vertical="center"/>
    </xf>
    <xf numFmtId="0" fontId="64" fillId="0" borderId="32" xfId="0" applyNumberFormat="1" applyFont="1" applyFill="1" applyBorder="1" applyAlignment="1">
      <alignment vertical="center"/>
    </xf>
    <xf numFmtId="164" fontId="84" fillId="0" borderId="0" xfId="1" applyFont="1" applyFill="1">
      <alignment vertical="top"/>
    </xf>
    <xf numFmtId="164" fontId="85" fillId="0" borderId="0" xfId="1" applyFont="1" applyFill="1">
      <alignment vertical="top"/>
    </xf>
    <xf numFmtId="164" fontId="14" fillId="0" borderId="10" xfId="1" applyFont="1" applyFill="1" applyBorder="1" applyAlignment="1">
      <alignment horizontal="centerContinuous" vertical="top"/>
    </xf>
    <xf numFmtId="164" fontId="86" fillId="0" borderId="0" xfId="1" applyFont="1" applyFill="1" applyBorder="1" applyAlignment="1">
      <alignment horizontal="centerContinuous" vertical="top"/>
    </xf>
    <xf numFmtId="164" fontId="10" fillId="0" borderId="0" xfId="1" applyFont="1" applyFill="1" applyBorder="1" applyAlignment="1">
      <alignment horizontal="centerContinuous" vertical="top"/>
    </xf>
    <xf numFmtId="164" fontId="14" fillId="0" borderId="0" xfId="1" applyFont="1" applyFill="1" applyBorder="1" applyAlignment="1">
      <alignment horizontal="centerContinuous" vertical="top"/>
    </xf>
    <xf numFmtId="164" fontId="85" fillId="0" borderId="0" xfId="1" applyFont="1" applyFill="1" applyBorder="1">
      <alignment vertical="top"/>
    </xf>
    <xf numFmtId="164" fontId="85" fillId="0" borderId="11" xfId="1" applyFont="1" applyFill="1" applyBorder="1">
      <alignment vertical="top"/>
    </xf>
    <xf numFmtId="164" fontId="87" fillId="0" borderId="0" xfId="0" applyFont="1" applyBorder="1">
      <alignment vertical="top"/>
    </xf>
    <xf numFmtId="164" fontId="87" fillId="21" borderId="28" xfId="0" applyFont="1" applyFill="1" applyBorder="1">
      <alignment vertical="top"/>
    </xf>
    <xf numFmtId="164" fontId="87" fillId="20" borderId="28" xfId="0" applyFont="1" applyFill="1" applyBorder="1">
      <alignment vertical="top"/>
    </xf>
    <xf numFmtId="164" fontId="87" fillId="4" borderId="28" xfId="0" applyFont="1" applyFill="1" applyBorder="1">
      <alignment vertical="top"/>
    </xf>
    <xf numFmtId="164" fontId="87" fillId="13" borderId="28" xfId="0" applyFont="1" applyFill="1" applyBorder="1">
      <alignment vertical="top"/>
    </xf>
    <xf numFmtId="164" fontId="87" fillId="0" borderId="0" xfId="0" applyFont="1" applyBorder="1" applyAlignment="1"/>
    <xf numFmtId="164" fontId="3" fillId="0" borderId="0" xfId="1" applyFont="1">
      <alignment vertical="top"/>
    </xf>
    <xf numFmtId="164" fontId="62" fillId="0" borderId="0" xfId="1" applyFont="1" applyBorder="1">
      <alignment vertical="top"/>
    </xf>
    <xf numFmtId="164" fontId="64" fillId="0" borderId="0" xfId="1" applyFont="1" applyBorder="1">
      <alignment vertical="top"/>
    </xf>
    <xf numFmtId="164" fontId="64" fillId="0" borderId="0" xfId="1" applyFont="1">
      <alignment vertical="top"/>
    </xf>
    <xf numFmtId="164" fontId="19" fillId="0" borderId="0" xfId="1" applyFont="1">
      <alignment vertical="top"/>
    </xf>
    <xf numFmtId="164" fontId="75" fillId="0" borderId="0" xfId="1" applyFont="1">
      <alignment vertical="top"/>
    </xf>
    <xf numFmtId="164" fontId="3" fillId="0" borderId="0" xfId="1" applyFont="1" applyAlignment="1">
      <alignment horizontal="right" vertical="top"/>
    </xf>
    <xf numFmtId="164" fontId="3" fillId="0" borderId="0" xfId="1" applyFont="1" applyAlignment="1">
      <alignment horizontal="center"/>
    </xf>
    <xf numFmtId="164" fontId="3" fillId="0" borderId="0" xfId="1" applyFont="1" applyFill="1">
      <alignment vertical="top"/>
    </xf>
    <xf numFmtId="164" fontId="3" fillId="0" borderId="0" xfId="1" applyFont="1" applyFill="1" applyBorder="1">
      <alignment vertical="top"/>
    </xf>
    <xf numFmtId="164" fontId="89" fillId="0" borderId="0" xfId="1" applyFont="1" applyFill="1" applyBorder="1">
      <alignment vertical="top"/>
    </xf>
    <xf numFmtId="164" fontId="88" fillId="0" borderId="0" xfId="0" applyFont="1" applyAlignment="1">
      <alignment vertical="center"/>
    </xf>
    <xf numFmtId="0" fontId="64" fillId="0" borderId="34" xfId="0" applyNumberFormat="1" applyFont="1" applyFill="1" applyBorder="1" applyAlignment="1">
      <alignment vertical="center"/>
    </xf>
    <xf numFmtId="164" fontId="10" fillId="0" borderId="35" xfId="1" applyFont="1" applyBorder="1">
      <alignment vertical="top"/>
    </xf>
    <xf numFmtId="164" fontId="10" fillId="0" borderId="36" xfId="1" applyFont="1" applyBorder="1">
      <alignment vertical="top"/>
    </xf>
    <xf numFmtId="164" fontId="2" fillId="0" borderId="0" xfId="0" applyFont="1">
      <alignment vertical="top"/>
    </xf>
    <xf numFmtId="164" fontId="90" fillId="0" borderId="0" xfId="18" applyNumberFormat="1" applyFont="1" applyFill="1" applyBorder="1" applyAlignment="1">
      <alignment vertical="top"/>
    </xf>
    <xf numFmtId="164" fontId="75" fillId="0" borderId="0" xfId="1" applyFont="1" applyFill="1" applyBorder="1">
      <alignment vertical="top"/>
    </xf>
    <xf numFmtId="164" fontId="6" fillId="0" borderId="0" xfId="1" applyFont="1" applyFill="1" applyBorder="1">
      <alignment vertical="top"/>
    </xf>
    <xf numFmtId="164" fontId="3" fillId="0" borderId="0" xfId="1" applyFont="1" applyFill="1" applyBorder="1" applyAlignment="1">
      <alignment horizontal="right" vertical="top"/>
    </xf>
    <xf numFmtId="164" fontId="91" fillId="0" borderId="0" xfId="0" applyFont="1" applyAlignment="1">
      <alignment vertical="center"/>
    </xf>
    <xf numFmtId="164" fontId="33" fillId="0" borderId="0" xfId="0" applyFont="1" applyAlignment="1">
      <alignment vertical="center"/>
    </xf>
    <xf numFmtId="164" fontId="1" fillId="0" borderId="0" xfId="0" applyFont="1" applyFill="1" applyBorder="1">
      <alignment vertical="top"/>
    </xf>
    <xf numFmtId="164" fontId="92" fillId="0" borderId="0" xfId="0" applyFont="1" applyAlignment="1">
      <alignment vertical="center"/>
    </xf>
    <xf numFmtId="164" fontId="10" fillId="0" borderId="0" xfId="1" applyFont="1" applyAlignment="1"/>
    <xf numFmtId="169" fontId="10" fillId="0" borderId="0" xfId="3" applyNumberFormat="1" applyFont="1" applyFill="1" applyAlignment="1">
      <alignment horizontal="right" vertical="top"/>
    </xf>
    <xf numFmtId="168" fontId="10" fillId="0" borderId="0" xfId="4" applyFont="1" applyFill="1" applyAlignment="1">
      <alignment horizontal="right" vertical="top"/>
    </xf>
    <xf numFmtId="167" fontId="10" fillId="0" borderId="0" xfId="3" applyFont="1" applyAlignment="1">
      <alignment horizontal="right" vertical="top"/>
    </xf>
    <xf numFmtId="169" fontId="21" fillId="0" borderId="0" xfId="24" applyNumberFormat="1" applyFont="1" applyFill="1" applyBorder="1" applyAlignment="1">
      <alignment horizontal="right" vertical="top"/>
    </xf>
    <xf numFmtId="169" fontId="21" fillId="0" borderId="0" xfId="24" applyNumberFormat="1" applyFont="1">
      <alignment vertical="top"/>
    </xf>
    <xf numFmtId="167" fontId="21" fillId="0" borderId="0" xfId="24" applyFont="1">
      <alignment vertical="top"/>
    </xf>
    <xf numFmtId="169" fontId="21" fillId="0" borderId="0" xfId="24" applyNumberFormat="1" applyFont="1" applyFill="1">
      <alignment vertical="top"/>
    </xf>
    <xf numFmtId="164" fontId="10" fillId="19" borderId="28" xfId="1" applyFont="1" applyFill="1" applyBorder="1" applyAlignment="1">
      <alignment horizontal="left" vertical="top"/>
    </xf>
    <xf numFmtId="169" fontId="10" fillId="19" borderId="28" xfId="1" applyNumberFormat="1" applyFont="1" applyFill="1" applyBorder="1" applyAlignment="1">
      <alignment horizontal="center" vertical="top"/>
    </xf>
    <xf numFmtId="164" fontId="10" fillId="19" borderId="28" xfId="1" applyFill="1" applyBorder="1" applyAlignment="1">
      <alignment horizontal="center" vertical="top"/>
    </xf>
    <xf numFmtId="164" fontId="93" fillId="0" borderId="0" xfId="18" applyNumberFormat="1" applyFont="1" applyFill="1">
      <alignment vertical="top"/>
    </xf>
    <xf numFmtId="164" fontId="10" fillId="20" borderId="43" xfId="1" applyFill="1" applyBorder="1">
      <alignment vertical="top"/>
    </xf>
    <xf numFmtId="164" fontId="10" fillId="20" borderId="2" xfId="1" applyFill="1" applyBorder="1">
      <alignment vertical="top"/>
    </xf>
    <xf numFmtId="167" fontId="21" fillId="0" borderId="0" xfId="24" applyFont="1" applyAlignment="1">
      <alignment horizontal="right" vertical="top"/>
    </xf>
    <xf numFmtId="0" fontId="49" fillId="2" borderId="7" xfId="1" applyNumberFormat="1" applyFont="1" applyFill="1" applyBorder="1" applyAlignment="1">
      <alignment vertical="top" wrapText="1"/>
    </xf>
    <xf numFmtId="164" fontId="35" fillId="0" borderId="0" xfId="0" applyFont="1" applyFill="1" applyAlignment="1"/>
    <xf numFmtId="167" fontId="0" fillId="0" borderId="0" xfId="3" applyFont="1" applyFill="1">
      <alignment vertical="top"/>
    </xf>
    <xf numFmtId="169" fontId="21" fillId="0" borderId="0" xfId="3" applyNumberFormat="1" applyFont="1" applyFill="1" applyBorder="1" applyAlignment="1">
      <alignment horizontal="left" vertical="top"/>
    </xf>
    <xf numFmtId="164" fontId="17" fillId="0" borderId="0" xfId="1" applyFont="1" applyFill="1" applyBorder="1">
      <alignment vertical="top"/>
    </xf>
    <xf numFmtId="164" fontId="21" fillId="0" borderId="0" xfId="1" applyFont="1" applyFill="1" applyAlignment="1">
      <alignment horizontal="left" vertical="top"/>
    </xf>
    <xf numFmtId="164" fontId="21" fillId="0" borderId="0" xfId="1" applyFont="1" applyFill="1" applyAlignment="1">
      <alignment horizontal="right"/>
    </xf>
    <xf numFmtId="164" fontId="10" fillId="0" borderId="0" xfId="1" applyFont="1" applyFill="1" applyAlignment="1">
      <alignment horizontal="right"/>
    </xf>
    <xf numFmtId="0" fontId="83" fillId="4" borderId="33" xfId="0" applyNumberFormat="1" applyFont="1" applyFill="1" applyBorder="1" applyAlignment="1">
      <alignment vertical="center"/>
    </xf>
    <xf numFmtId="164" fontId="26" fillId="0" borderId="0" xfId="1" applyFont="1" applyFill="1">
      <alignment vertical="top"/>
    </xf>
    <xf numFmtId="164" fontId="27" fillId="0" borderId="0" xfId="1" applyFont="1" applyFill="1">
      <alignment vertical="top"/>
    </xf>
    <xf numFmtId="182" fontId="23" fillId="0" borderId="0" xfId="8" applyNumberFormat="1" applyFont="1" applyFill="1" applyBorder="1" applyAlignment="1">
      <alignment horizontal="right" vertical="top"/>
    </xf>
    <xf numFmtId="164" fontId="36" fillId="0" borderId="0" xfId="0" applyFont="1" applyFill="1" applyAlignment="1"/>
    <xf numFmtId="164" fontId="64" fillId="24" borderId="33" xfId="1" applyFont="1" applyFill="1" applyBorder="1" applyAlignment="1">
      <alignment horizontal="left" vertical="top"/>
    </xf>
    <xf numFmtId="173" fontId="21" fillId="0" borderId="0" xfId="3" applyNumberFormat="1" applyFont="1" applyFill="1" applyBorder="1">
      <alignment vertical="top"/>
    </xf>
    <xf numFmtId="166" fontId="10" fillId="0" borderId="0" xfId="0" applyNumberFormat="1" applyFont="1" applyFill="1" applyAlignment="1">
      <alignment horizontal="right" vertical="top"/>
    </xf>
    <xf numFmtId="164" fontId="14" fillId="2" borderId="0" xfId="1" applyFont="1" applyFill="1" applyAlignment="1">
      <alignment horizontal="right" vertical="top"/>
    </xf>
    <xf numFmtId="164" fontId="52" fillId="2" borderId="7" xfId="18" applyNumberFormat="1" applyFill="1" applyBorder="1" applyAlignment="1">
      <alignment vertical="top" wrapText="1"/>
    </xf>
    <xf numFmtId="169" fontId="10" fillId="20" borderId="2" xfId="1" applyNumberFormat="1" applyFont="1" applyFill="1" applyBorder="1" applyAlignment="1">
      <alignment horizontal="right" vertical="top"/>
    </xf>
    <xf numFmtId="164" fontId="10" fillId="20" borderId="2" xfId="1" applyFont="1" applyFill="1" applyBorder="1" applyAlignment="1">
      <alignment horizontal="right" vertical="top"/>
    </xf>
    <xf numFmtId="169" fontId="10" fillId="20" borderId="2" xfId="24" applyNumberFormat="1" applyFont="1" applyFill="1" applyBorder="1" applyAlignment="1">
      <alignment horizontal="right" vertical="top"/>
    </xf>
    <xf numFmtId="169" fontId="10" fillId="0" borderId="1" xfId="3" applyNumberFormat="1" applyFont="1" applyFill="1" applyBorder="1" applyAlignment="1">
      <alignment horizontal="right" vertical="top"/>
    </xf>
    <xf numFmtId="169" fontId="10" fillId="0" borderId="0" xfId="24" applyNumberFormat="1" applyFont="1" applyFill="1" applyBorder="1" applyAlignment="1">
      <alignment horizontal="right" vertical="top"/>
    </xf>
    <xf numFmtId="169" fontId="17" fillId="0" borderId="0" xfId="3" applyNumberFormat="1" applyFont="1" applyAlignment="1">
      <alignment horizontal="right" vertical="top"/>
    </xf>
    <xf numFmtId="168" fontId="21" fillId="0" borderId="0" xfId="8" quotePrefix="1" applyFont="1" applyFill="1" applyAlignment="1">
      <alignment horizontal="right" vertical="top"/>
    </xf>
    <xf numFmtId="167" fontId="21" fillId="0" borderId="0" xfId="3" quotePrefix="1" applyFont="1" applyFill="1" applyAlignment="1">
      <alignment horizontal="right" vertical="top"/>
    </xf>
    <xf numFmtId="164" fontId="17" fillId="0" borderId="1" xfId="1" applyFont="1" applyFill="1" applyBorder="1" applyAlignment="1">
      <alignment horizontal="left" vertical="top"/>
    </xf>
    <xf numFmtId="164" fontId="17" fillId="0" borderId="1" xfId="1" applyFont="1" applyFill="1" applyBorder="1" applyAlignment="1">
      <alignment horizontal="right" vertical="top"/>
    </xf>
    <xf numFmtId="169" fontId="17" fillId="0" borderId="1" xfId="3" applyNumberFormat="1" applyFont="1" applyFill="1" applyBorder="1" applyAlignment="1">
      <alignment horizontal="right" vertical="top"/>
    </xf>
    <xf numFmtId="164" fontId="58" fillId="0" borderId="0" xfId="0" applyFont="1" applyFill="1">
      <alignment vertical="top"/>
    </xf>
    <xf numFmtId="164" fontId="0" fillId="0" borderId="0" xfId="0" applyFill="1" applyAlignment="1">
      <alignment horizontal="right" vertical="top"/>
    </xf>
    <xf numFmtId="169" fontId="10" fillId="0" borderId="0" xfId="3" applyNumberFormat="1" applyFont="1" applyFill="1" applyBorder="1" applyAlignment="1">
      <alignment horizontal="left" vertical="top"/>
    </xf>
    <xf numFmtId="169" fontId="10" fillId="0" borderId="0" xfId="0" applyNumberFormat="1" applyFont="1" applyAlignment="1">
      <alignment horizontal="right" vertical="top"/>
    </xf>
    <xf numFmtId="167" fontId="10" fillId="12" borderId="2" xfId="3" applyFont="1" applyFill="1" applyBorder="1">
      <alignment vertical="top"/>
    </xf>
    <xf numFmtId="169" fontId="10" fillId="12" borderId="2" xfId="3" applyNumberFormat="1" applyFont="1" applyFill="1" applyBorder="1">
      <alignment vertical="top"/>
    </xf>
    <xf numFmtId="167" fontId="10" fillId="0" borderId="0" xfId="24" applyFont="1">
      <alignment vertical="top"/>
    </xf>
    <xf numFmtId="167" fontId="10" fillId="0" borderId="0" xfId="24" applyFont="1" applyAlignment="1">
      <alignment horizontal="right" vertical="top"/>
    </xf>
    <xf numFmtId="167" fontId="21" fillId="0" borderId="0" xfId="3" applyFont="1" applyFill="1">
      <alignment vertical="top"/>
    </xf>
    <xf numFmtId="167" fontId="21" fillId="0" borderId="0" xfId="3" quotePrefix="1" applyFont="1" applyFill="1">
      <alignment vertical="top"/>
    </xf>
    <xf numFmtId="164" fontId="18" fillId="0" borderId="0" xfId="0" applyFont="1" applyFill="1">
      <alignment vertical="top"/>
    </xf>
    <xf numFmtId="168" fontId="10" fillId="20" borderId="2" xfId="8" applyFont="1" applyFill="1" applyBorder="1">
      <alignment vertical="top"/>
    </xf>
    <xf numFmtId="166" fontId="21" fillId="0" borderId="2" xfId="1" applyNumberFormat="1" applyFont="1" applyFill="1" applyBorder="1" applyAlignment="1">
      <alignment horizontal="left" vertical="top"/>
    </xf>
    <xf numFmtId="168" fontId="17" fillId="0" borderId="0" xfId="8" applyFont="1" applyAlignment="1">
      <alignment horizontal="right" vertical="top"/>
    </xf>
    <xf numFmtId="166" fontId="10" fillId="0" borderId="2" xfId="1" applyNumberFormat="1" applyFont="1" applyFill="1" applyBorder="1" applyAlignment="1">
      <alignment horizontal="left" vertical="top"/>
    </xf>
    <xf numFmtId="169" fontId="10" fillId="0" borderId="2" xfId="3" applyNumberFormat="1" applyFont="1" applyFill="1" applyBorder="1">
      <alignment vertical="top"/>
    </xf>
    <xf numFmtId="169" fontId="10" fillId="0" borderId="2" xfId="3" applyNumberFormat="1" applyFont="1" applyFill="1" applyBorder="1" applyAlignment="1">
      <alignment horizontal="right" vertical="top"/>
    </xf>
    <xf numFmtId="164" fontId="38" fillId="0" borderId="0" xfId="0" applyFont="1" applyFill="1">
      <alignment vertical="top"/>
    </xf>
    <xf numFmtId="167" fontId="10" fillId="0" borderId="0" xfId="3" applyFont="1" applyBorder="1" applyAlignment="1">
      <alignment horizontal="right" vertical="top"/>
    </xf>
    <xf numFmtId="166" fontId="17" fillId="18" borderId="50" xfId="1" applyNumberFormat="1" applyFont="1" applyFill="1" applyBorder="1" applyAlignment="1">
      <alignment horizontal="center" vertical="top"/>
    </xf>
    <xf numFmtId="166" fontId="17" fillId="18" borderId="51" xfId="1" applyNumberFormat="1" applyFont="1" applyFill="1" applyBorder="1" applyAlignment="1">
      <alignment horizontal="center" vertical="top"/>
    </xf>
    <xf numFmtId="164" fontId="17" fillId="0" borderId="1" xfId="1" applyFont="1" applyBorder="1">
      <alignment vertical="top"/>
    </xf>
    <xf numFmtId="167" fontId="10" fillId="0" borderId="1" xfId="3" applyFont="1" applyBorder="1" applyAlignment="1">
      <alignment horizontal="right" vertical="top"/>
    </xf>
    <xf numFmtId="166" fontId="21" fillId="0" borderId="0" xfId="1" applyNumberFormat="1" applyFont="1" applyFill="1" applyBorder="1" applyAlignment="1">
      <alignment horizontal="left" vertical="top"/>
    </xf>
    <xf numFmtId="169" fontId="21" fillId="0" borderId="0" xfId="3" applyNumberFormat="1" applyFont="1" applyBorder="1" applyAlignment="1">
      <alignment horizontal="left" vertical="top"/>
    </xf>
    <xf numFmtId="168" fontId="21" fillId="0" borderId="0" xfId="8" applyFont="1" applyFill="1" applyBorder="1" applyAlignment="1">
      <alignment horizontal="left" vertical="top"/>
    </xf>
    <xf numFmtId="166" fontId="21" fillId="0" borderId="1" xfId="1" applyNumberFormat="1" applyFont="1" applyFill="1" applyBorder="1" applyAlignment="1">
      <alignment horizontal="left" vertical="top"/>
    </xf>
    <xf numFmtId="169" fontId="21" fillId="0" borderId="0" xfId="3" quotePrefix="1" applyNumberFormat="1" applyFont="1" applyFill="1" applyAlignment="1">
      <alignment horizontal="left" vertical="top"/>
    </xf>
    <xf numFmtId="164" fontId="21" fillId="0" borderId="2" xfId="1" applyFont="1" applyFill="1" applyBorder="1" applyAlignment="1">
      <alignment horizontal="left" vertical="top"/>
    </xf>
    <xf numFmtId="164" fontId="21" fillId="0" borderId="1" xfId="1" applyFont="1" applyFill="1" applyBorder="1" applyAlignment="1">
      <alignment horizontal="left" vertical="top"/>
    </xf>
    <xf numFmtId="169" fontId="17" fillId="0" borderId="0" xfId="3" applyNumberFormat="1" applyFont="1" applyAlignment="1">
      <alignment horizontal="left" vertical="top"/>
    </xf>
    <xf numFmtId="164" fontId="58" fillId="0" borderId="0" xfId="0" applyFont="1" applyAlignment="1">
      <alignment horizontal="left" vertical="top"/>
    </xf>
    <xf numFmtId="164" fontId="18" fillId="0" borderId="0" xfId="1" applyFont="1" applyAlignment="1">
      <alignment horizontal="right" vertical="top"/>
    </xf>
    <xf numFmtId="164" fontId="21" fillId="0" borderId="0" xfId="0" applyFont="1" applyAlignment="1">
      <alignment horizontal="left" vertical="top"/>
    </xf>
    <xf numFmtId="164" fontId="94" fillId="0" borderId="0" xfId="0" applyFont="1" applyAlignment="1">
      <alignment horizontal="right" vertical="top"/>
    </xf>
    <xf numFmtId="166" fontId="21" fillId="0" borderId="2" xfId="1" applyNumberFormat="1" applyFont="1" applyFill="1" applyBorder="1" applyAlignment="1">
      <alignment horizontal="right" vertical="top"/>
    </xf>
    <xf numFmtId="168" fontId="21" fillId="0" borderId="2" xfId="8" applyFont="1" applyFill="1" applyBorder="1" applyAlignment="1">
      <alignment horizontal="right" vertical="top"/>
    </xf>
    <xf numFmtId="164" fontId="93" fillId="0" borderId="0" xfId="18" applyNumberFormat="1" applyFont="1">
      <alignment vertical="top"/>
    </xf>
    <xf numFmtId="164" fontId="49" fillId="0" borderId="0" xfId="0" applyFont="1" applyFill="1">
      <alignment vertical="top"/>
    </xf>
    <xf numFmtId="164" fontId="50" fillId="0" borderId="0" xfId="0" applyFont="1" applyFill="1">
      <alignment vertical="top"/>
    </xf>
    <xf numFmtId="164" fontId="52" fillId="0" borderId="0" xfId="18" applyNumberFormat="1" applyFill="1" applyBorder="1" applyAlignment="1">
      <alignment vertical="top"/>
    </xf>
    <xf numFmtId="169" fontId="10" fillId="0" borderId="0" xfId="24" applyNumberFormat="1" applyFont="1" applyFill="1" applyBorder="1">
      <alignment vertical="top"/>
    </xf>
    <xf numFmtId="169" fontId="10" fillId="0" borderId="0" xfId="24" applyNumberFormat="1" applyFont="1" applyAlignment="1">
      <alignment horizontal="right" vertical="top"/>
    </xf>
    <xf numFmtId="0" fontId="49" fillId="2" borderId="0" xfId="1" applyNumberFormat="1" applyFont="1" applyFill="1" applyBorder="1" applyAlignment="1">
      <alignment vertical="top" wrapText="1"/>
    </xf>
    <xf numFmtId="164" fontId="52" fillId="2" borderId="0" xfId="18" applyNumberFormat="1" applyFill="1" applyBorder="1" applyAlignment="1">
      <alignment vertical="top" wrapText="1"/>
    </xf>
    <xf numFmtId="169" fontId="21" fillId="25" borderId="0" xfId="3" applyNumberFormat="1" applyFont="1" applyFill="1">
      <alignment vertical="top"/>
    </xf>
    <xf numFmtId="166" fontId="21" fillId="25" borderId="0" xfId="1" applyNumberFormat="1" applyFont="1" applyFill="1">
      <alignment vertical="top"/>
    </xf>
    <xf numFmtId="166" fontId="21" fillId="25" borderId="0" xfId="1" applyNumberFormat="1" applyFont="1" applyFill="1" applyAlignment="1">
      <alignment horizontal="right" vertical="top"/>
    </xf>
    <xf numFmtId="164" fontId="21" fillId="25" borderId="0" xfId="1" applyFont="1" applyFill="1">
      <alignment vertical="top"/>
    </xf>
    <xf numFmtId="164" fontId="21" fillId="25" borderId="0" xfId="1" applyFont="1" applyFill="1" applyAlignment="1">
      <alignment horizontal="right" vertical="top"/>
    </xf>
    <xf numFmtId="168" fontId="21" fillId="25" borderId="0" xfId="8" applyFont="1" applyFill="1">
      <alignment vertical="top"/>
    </xf>
    <xf numFmtId="169" fontId="23" fillId="0" borderId="0" xfId="24" applyNumberFormat="1" applyFont="1">
      <alignment vertical="top"/>
    </xf>
    <xf numFmtId="169" fontId="23" fillId="0" borderId="0" xfId="24" applyNumberFormat="1" applyFont="1" applyBorder="1">
      <alignment vertical="top"/>
    </xf>
    <xf numFmtId="169" fontId="10" fillId="0" borderId="0" xfId="24" applyNumberFormat="1" applyFont="1">
      <alignment vertical="top"/>
    </xf>
    <xf numFmtId="167" fontId="21" fillId="0" borderId="0" xfId="24" applyFont="1" applyFill="1">
      <alignment vertical="top"/>
    </xf>
    <xf numFmtId="164" fontId="10" fillId="0" borderId="53" xfId="1" applyFont="1" applyBorder="1">
      <alignment vertical="top"/>
    </xf>
    <xf numFmtId="164" fontId="10" fillId="0" borderId="53" xfId="1" applyFont="1" applyBorder="1" applyAlignment="1">
      <alignment horizontal="right" vertical="top"/>
    </xf>
    <xf numFmtId="169" fontId="10" fillId="0" borderId="53" xfId="24" applyNumberFormat="1" applyFont="1" applyBorder="1">
      <alignment vertical="top"/>
    </xf>
    <xf numFmtId="164" fontId="14" fillId="25" borderId="0" xfId="1" applyFont="1" applyFill="1">
      <alignment vertical="top"/>
    </xf>
    <xf numFmtId="164" fontId="16" fillId="25" borderId="0" xfId="1" applyFont="1" applyFill="1">
      <alignment vertical="top"/>
    </xf>
    <xf numFmtId="164" fontId="17" fillId="25" borderId="0" xfId="1" applyFont="1" applyFill="1" applyAlignment="1">
      <alignment horizontal="left" vertical="top"/>
    </xf>
    <xf numFmtId="169" fontId="21" fillId="25" borderId="0" xfId="1" applyNumberFormat="1" applyFont="1" applyFill="1" applyBorder="1" applyAlignment="1">
      <alignment horizontal="left" vertical="top"/>
    </xf>
    <xf numFmtId="169" fontId="21" fillId="25" borderId="0" xfId="1" applyNumberFormat="1" applyFont="1" applyFill="1" applyBorder="1" applyAlignment="1">
      <alignment horizontal="right" vertical="top"/>
    </xf>
    <xf numFmtId="169" fontId="21" fillId="25" borderId="0" xfId="3" applyNumberFormat="1" applyFont="1" applyFill="1" applyBorder="1">
      <alignment vertical="top"/>
    </xf>
    <xf numFmtId="164" fontId="10" fillId="25" borderId="0" xfId="1" applyFill="1" applyBorder="1">
      <alignment vertical="top"/>
    </xf>
    <xf numFmtId="164" fontId="0" fillId="25" borderId="0" xfId="0" applyFill="1" applyAlignment="1"/>
    <xf numFmtId="169" fontId="17" fillId="25" borderId="0" xfId="3" applyNumberFormat="1" applyFont="1" applyFill="1" applyBorder="1">
      <alignment vertical="top"/>
    </xf>
    <xf numFmtId="169" fontId="17" fillId="25" borderId="0" xfId="1" applyNumberFormat="1" applyFont="1" applyFill="1" applyBorder="1" applyAlignment="1">
      <alignment horizontal="right" vertical="top"/>
    </xf>
    <xf numFmtId="183" fontId="10" fillId="0" borderId="0" xfId="24" applyNumberFormat="1" applyFont="1" applyFill="1" applyBorder="1">
      <alignment vertical="top"/>
    </xf>
    <xf numFmtId="166" fontId="10" fillId="0" borderId="0" xfId="24" applyNumberFormat="1" applyFont="1" applyFill="1" applyBorder="1">
      <alignment vertical="top"/>
    </xf>
    <xf numFmtId="169" fontId="14" fillId="0" borderId="0" xfId="1" applyNumberFormat="1" applyFont="1" applyFill="1" applyBorder="1" applyAlignment="1">
      <alignment horizontal="left" vertical="top"/>
    </xf>
    <xf numFmtId="169" fontId="10" fillId="0" borderId="53" xfId="1" applyNumberFormat="1" applyFont="1" applyFill="1" applyBorder="1" applyAlignment="1">
      <alignment horizontal="left" vertical="top"/>
    </xf>
    <xf numFmtId="169" fontId="10" fillId="0" borderId="53" xfId="1" applyNumberFormat="1" applyFont="1" applyFill="1" applyBorder="1" applyAlignment="1">
      <alignment horizontal="right" vertical="top"/>
    </xf>
    <xf numFmtId="166" fontId="10" fillId="0" borderId="53" xfId="24" applyNumberFormat="1" applyFont="1" applyFill="1" applyBorder="1">
      <alignment vertical="top"/>
    </xf>
    <xf numFmtId="164" fontId="10" fillId="0" borderId="53" xfId="1" applyFont="1" applyBorder="1" applyAlignment="1">
      <alignment horizontal="left" vertical="top"/>
    </xf>
    <xf numFmtId="164" fontId="23" fillId="12" borderId="2" xfId="24" applyNumberFormat="1" applyFont="1" applyFill="1" applyBorder="1" applyAlignment="1">
      <alignment horizontal="center" vertical="top"/>
    </xf>
    <xf numFmtId="169" fontId="10" fillId="25" borderId="0" xfId="3" applyNumberFormat="1" applyFont="1" applyFill="1" applyBorder="1">
      <alignment vertical="top"/>
    </xf>
    <xf numFmtId="169" fontId="10" fillId="0" borderId="1" xfId="1" applyNumberFormat="1" applyFont="1" applyFill="1" applyBorder="1">
      <alignment vertical="top"/>
    </xf>
    <xf numFmtId="169" fontId="10" fillId="25" borderId="2" xfId="1" applyNumberFormat="1" applyFont="1" applyFill="1" applyBorder="1" applyAlignment="1">
      <alignment horizontal="right" vertical="top"/>
    </xf>
    <xf numFmtId="169" fontId="10" fillId="25" borderId="2" xfId="24" applyNumberFormat="1" applyFont="1" applyFill="1" applyBorder="1" applyAlignment="1">
      <alignment horizontal="right" vertical="top"/>
    </xf>
    <xf numFmtId="164" fontId="49" fillId="2" borderId="52" xfId="1" applyFont="1" applyFill="1" applyBorder="1" applyAlignment="1">
      <alignment horizontal="left" vertical="top" wrapText="1"/>
    </xf>
    <xf numFmtId="164" fontId="49" fillId="2" borderId="0" xfId="1" applyFont="1" applyFill="1" applyBorder="1" applyAlignment="1">
      <alignment horizontal="left" vertical="top" wrapText="1"/>
    </xf>
    <xf numFmtId="164" fontId="45" fillId="7" borderId="0" xfId="1" applyFont="1" applyFill="1">
      <alignment vertical="top"/>
    </xf>
    <xf numFmtId="164" fontId="49" fillId="2" borderId="7" xfId="1" applyFont="1" applyFill="1" applyBorder="1" applyAlignment="1">
      <alignment vertical="top" wrapText="1"/>
    </xf>
    <xf numFmtId="164" fontId="49" fillId="2" borderId="7" xfId="1" applyFont="1" applyFill="1" applyBorder="1" applyAlignment="1">
      <alignment horizontal="left" vertical="top" wrapText="1"/>
    </xf>
    <xf numFmtId="164" fontId="10" fillId="23" borderId="49" xfId="1" applyFont="1" applyFill="1" applyBorder="1" applyAlignment="1">
      <alignment horizontal="left" vertical="top"/>
    </xf>
    <xf numFmtId="0" fontId="10" fillId="0" borderId="48" xfId="1" applyNumberFormat="1" applyFont="1" applyBorder="1" applyAlignment="1">
      <alignment horizontal="left" vertical="top" wrapText="1"/>
    </xf>
    <xf numFmtId="164" fontId="21" fillId="0" borderId="39" xfId="1" applyFont="1" applyFill="1" applyBorder="1" applyAlignment="1">
      <alignment horizontal="left" vertical="top"/>
    </xf>
    <xf numFmtId="164" fontId="21" fillId="0" borderId="37" xfId="1" applyFont="1" applyFill="1" applyBorder="1" applyAlignment="1">
      <alignment horizontal="left" vertical="top"/>
    </xf>
    <xf numFmtId="164" fontId="10" fillId="23" borderId="46" xfId="1" applyFill="1" applyBorder="1" applyAlignment="1">
      <alignment horizontal="left" vertical="top"/>
    </xf>
    <xf numFmtId="164" fontId="10" fillId="23" borderId="49" xfId="1" applyFill="1" applyBorder="1" applyAlignment="1">
      <alignment horizontal="left" vertical="top"/>
    </xf>
    <xf numFmtId="164" fontId="21" fillId="0" borderId="44" xfId="1" applyFont="1" applyFill="1" applyBorder="1" applyAlignment="1">
      <alignment horizontal="left" vertical="top"/>
    </xf>
    <xf numFmtId="164" fontId="21" fillId="0" borderId="48" xfId="1" applyFont="1" applyFill="1" applyBorder="1" applyAlignment="1">
      <alignment horizontal="left" vertical="top"/>
    </xf>
    <xf numFmtId="164" fontId="21" fillId="0" borderId="40" xfId="1" applyFont="1" applyFill="1" applyBorder="1" applyAlignment="1">
      <alignment horizontal="left" vertical="top"/>
    </xf>
    <xf numFmtId="164" fontId="21" fillId="0" borderId="41" xfId="1" applyFont="1" applyFill="1" applyBorder="1" applyAlignment="1">
      <alignment horizontal="left" vertical="top"/>
    </xf>
    <xf numFmtId="0" fontId="10" fillId="0" borderId="37" xfId="1" applyNumberFormat="1" applyFont="1" applyBorder="1" applyAlignment="1">
      <alignment horizontal="left" vertical="top" wrapText="1"/>
    </xf>
    <xf numFmtId="0" fontId="10" fillId="0" borderId="41" xfId="1" applyNumberFormat="1" applyFont="1" applyBorder="1" applyAlignment="1">
      <alignment horizontal="left" vertical="top" wrapText="1"/>
    </xf>
    <xf numFmtId="0" fontId="10" fillId="0" borderId="42" xfId="1" applyNumberFormat="1" applyFont="1" applyBorder="1" applyAlignment="1">
      <alignment horizontal="left" vertical="top" wrapText="1"/>
    </xf>
    <xf numFmtId="164" fontId="10" fillId="23" borderId="47" xfId="1" applyFont="1" applyFill="1" applyBorder="1" applyAlignment="1">
      <alignment horizontal="left" vertical="top"/>
    </xf>
    <xf numFmtId="0" fontId="10" fillId="0" borderId="45" xfId="1" applyNumberFormat="1" applyFont="1" applyBorder="1" applyAlignment="1">
      <alignment horizontal="left" vertical="top" wrapText="1"/>
    </xf>
    <xf numFmtId="0" fontId="10" fillId="0" borderId="38" xfId="1" applyNumberFormat="1" applyFont="1" applyBorder="1" applyAlignment="1">
      <alignment horizontal="left" vertical="top" wrapText="1"/>
    </xf>
  </cellXfs>
  <cellStyles count="26">
    <cellStyle name="Column 2 + 3" xfId="20" xr:uid="{00000000-0005-0000-0000-000000000000}"/>
    <cellStyle name="Column 4" xfId="21" xr:uid="{00000000-0005-0000-0000-000001000000}"/>
    <cellStyle name="Comma" xfId="19" builtinId="3"/>
    <cellStyle name="Comma 2" xfId="11" xr:uid="{00000000-0005-0000-0000-000003000000}"/>
    <cellStyle name="Comma 3" xfId="12" xr:uid="{00000000-0005-0000-0000-000004000000}"/>
    <cellStyle name="Comma 4" xfId="16" xr:uid="{00000000-0005-0000-0000-000005000000}"/>
    <cellStyle name="DateLong" xfId="6" xr:uid="{00000000-0005-0000-0000-000006000000}"/>
    <cellStyle name="DateLong 2" xfId="17" xr:uid="{00000000-0005-0000-0000-000007000000}"/>
    <cellStyle name="DateLong 3" xfId="23" xr:uid="{00000000-0005-0000-0000-000008000000}"/>
    <cellStyle name="DateShort" xfId="2" xr:uid="{00000000-0005-0000-0000-000009000000}"/>
    <cellStyle name="DateShort 2" xfId="14" xr:uid="{00000000-0005-0000-0000-00000A000000}"/>
    <cellStyle name="DateShort 3" xfId="22" xr:uid="{00000000-0005-0000-0000-00000B000000}"/>
    <cellStyle name="Factor" xfId="3" xr:uid="{00000000-0005-0000-0000-00000C000000}"/>
    <cellStyle name="Factor 2" xfId="24" xr:uid="{00000000-0005-0000-0000-00000D000000}"/>
    <cellStyle name="Hyperlink" xfId="18" builtinId="8"/>
    <cellStyle name="Normal" xfId="0" builtinId="0" customBuiltin="1"/>
    <cellStyle name="Normal 2" xfId="1" xr:uid="{00000000-0005-0000-0000-000010000000}"/>
    <cellStyle name="Normal 3" xfId="7" xr:uid="{00000000-0005-0000-0000-000011000000}"/>
    <cellStyle name="Normal 3 3" xfId="9" xr:uid="{00000000-0005-0000-0000-000012000000}"/>
    <cellStyle name="Normal 4" xfId="13" xr:uid="{00000000-0005-0000-0000-000013000000}"/>
    <cellStyle name="Normal 5" xfId="15" xr:uid="{00000000-0005-0000-0000-000014000000}"/>
    <cellStyle name="Percent" xfId="8" builtinId="5" customBuiltin="1"/>
    <cellStyle name="Percent 2" xfId="4" xr:uid="{00000000-0005-0000-0000-000016000000}"/>
    <cellStyle name="Percent 3" xfId="10" xr:uid="{00000000-0005-0000-0000-000017000000}"/>
    <cellStyle name="Percent 4" xfId="25" xr:uid="{00000000-0005-0000-0000-000018000000}"/>
    <cellStyle name="Year" xfId="5" xr:uid="{00000000-0005-0000-0000-000019000000}"/>
  </cellStyles>
  <dxfs count="76">
    <dxf>
      <fill>
        <patternFill>
          <bgColor indexed="10"/>
        </patternFill>
      </fill>
    </dxf>
    <dxf>
      <fill>
        <patternFill>
          <bgColor indexed="10"/>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10"/>
        </patternFill>
      </fill>
    </dxf>
    <dxf>
      <fill>
        <patternFill>
          <bgColor indexed="10"/>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51"/>
        </patternFill>
      </fill>
    </dxf>
    <dxf>
      <fill>
        <patternFill>
          <bgColor indexed="51"/>
        </patternFill>
      </fill>
    </dxf>
    <dxf>
      <fill>
        <patternFill>
          <bgColor indexed="10"/>
        </patternFill>
      </fill>
    </dxf>
    <dxf>
      <fill>
        <patternFill>
          <bgColor indexed="10"/>
        </patternFill>
      </fill>
    </dxf>
    <dxf>
      <fill>
        <patternFill>
          <bgColor indexed="51"/>
        </patternFill>
      </fill>
    </dxf>
    <dxf>
      <fill>
        <patternFill>
          <bgColor indexed="51"/>
        </patternFill>
      </fill>
    </dxf>
    <dxf>
      <fill>
        <patternFill>
          <bgColor indexed="10"/>
        </patternFill>
      </fill>
    </dxf>
    <dxf>
      <fill>
        <patternFill>
          <bgColor indexed="10"/>
        </patternFill>
      </fill>
    </dxf>
    <dxf>
      <fill>
        <patternFill>
          <bgColor indexed="51"/>
        </patternFill>
      </fill>
    </dxf>
    <dxf>
      <fill>
        <patternFill>
          <bgColor indexed="51"/>
        </patternFill>
      </fill>
    </dxf>
    <dxf>
      <fill>
        <patternFill>
          <bgColor indexed="10"/>
        </patternFill>
      </fill>
    </dxf>
    <dxf>
      <fill>
        <patternFill>
          <bgColor indexed="10"/>
        </patternFill>
      </fill>
    </dxf>
    <dxf>
      <fill>
        <patternFill>
          <bgColor indexed="51"/>
        </patternFill>
      </fill>
    </dxf>
    <dxf>
      <fill>
        <patternFill>
          <bgColor indexed="51"/>
        </patternFill>
      </fill>
    </dxf>
    <dxf>
      <fill>
        <patternFill>
          <bgColor indexed="10"/>
        </patternFill>
      </fill>
    </dxf>
    <dxf>
      <fill>
        <patternFill>
          <bgColor indexed="10"/>
        </patternFill>
      </fill>
    </dxf>
    <dxf>
      <fill>
        <patternFill>
          <bgColor rgb="FFFFC000"/>
        </patternFill>
      </fill>
    </dxf>
    <dxf>
      <fill>
        <patternFill>
          <bgColor rgb="FFFFC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C000"/>
        </patternFill>
      </fill>
    </dxf>
    <dxf>
      <fill>
        <patternFill>
          <bgColor rgb="FFFFC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patternType="none">
          <bgColor indexed="65"/>
        </patternFill>
      </fill>
    </dxf>
    <dxf>
      <fill>
        <patternFill>
          <bgColor indexed="22"/>
        </patternFill>
      </fill>
    </dxf>
    <dxf>
      <fill>
        <patternFill>
          <bgColor indexed="51"/>
        </patternFill>
      </fill>
    </dxf>
    <dxf>
      <fill>
        <patternFill>
          <bgColor indexed="51"/>
        </patternFill>
      </fill>
    </dxf>
    <dxf>
      <fill>
        <patternFill>
          <bgColor indexed="10"/>
        </patternFill>
      </fill>
    </dxf>
    <dxf>
      <fill>
        <patternFill>
          <bgColor indexed="10"/>
        </patternFill>
      </fill>
    </dxf>
  </dxfs>
  <tableStyles count="0" defaultTableStyle="TableStyleMedium2" defaultPivotStyle="PivotStyleMedium9"/>
  <colors>
    <mruColors>
      <color rgb="FF99CCFF"/>
      <color rgb="FFCCFFFF"/>
      <color rgb="FF9EB9DA"/>
      <color rgb="FFFFFF99"/>
      <color rgb="FF385D8A"/>
      <color rgb="FF00CC00"/>
      <color rgb="FF00FF00"/>
      <color rgb="FFB9D08C"/>
      <color rgb="FF9BBB59"/>
      <color rgb="FFC866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hartsheet" Target="chartsheets/sheet1.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0.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19.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8.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haredStrings" Target="sharedStrings.xml"/><Relationship Id="rId30"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GB" sz="1200"/>
              <a:t>Bill movement between PR14</a:t>
            </a:r>
            <a:r>
              <a:rPr lang="en-GB" sz="1200" baseline="0"/>
              <a:t> and PR19</a:t>
            </a:r>
            <a:endParaRPr lang="en-GB" sz="1200"/>
          </a:p>
        </c:rich>
      </c:tx>
      <c:layout>
        <c:manualLayout>
          <c:xMode val="edge"/>
          <c:yMode val="edge"/>
          <c:x val="0.36387563325888878"/>
          <c:y val="5.9796694944116428E-2"/>
        </c:manualLayout>
      </c:layout>
      <c:overlay val="0"/>
    </c:title>
    <c:autoTitleDeleted val="0"/>
    <c:plotArea>
      <c:layout>
        <c:manualLayout>
          <c:layoutTarget val="inner"/>
          <c:xMode val="edge"/>
          <c:yMode val="edge"/>
          <c:x val="0.10958180544283556"/>
          <c:y val="0.12086218474990328"/>
          <c:w val="0.86742963805084161"/>
          <c:h val="0.70116864501501874"/>
        </c:manualLayout>
      </c:layout>
      <c:barChart>
        <c:barDir val="col"/>
        <c:grouping val="stacked"/>
        <c:varyColors val="0"/>
        <c:ser>
          <c:idx val="1"/>
          <c:order val="0"/>
          <c:tx>
            <c:strRef>
              <c:f>GraphData!$H$12</c:f>
              <c:strCache>
                <c:ptCount val="1"/>
                <c:pt idx="0">
                  <c:v> Ends </c:v>
                </c:pt>
              </c:strCache>
            </c:strRef>
          </c:tx>
          <c:spPr>
            <a:solidFill>
              <a:srgbClr val="007EA3"/>
            </a:solidFill>
          </c:spPr>
          <c:invertIfNegative val="0"/>
          <c:dPt>
            <c:idx val="1"/>
            <c:invertIfNegative val="0"/>
            <c:bubble3D val="0"/>
            <c:spPr>
              <a:solidFill>
                <a:srgbClr val="007EA3"/>
              </a:solidFill>
              <a:ln>
                <a:noFill/>
              </a:ln>
            </c:spPr>
            <c:extLst>
              <c:ext xmlns:c16="http://schemas.microsoft.com/office/drawing/2014/chart" uri="{C3380CC4-5D6E-409C-BE32-E72D297353CC}">
                <c16:uniqueId val="{00000001-4200-4854-A9E4-64C269A6D920}"/>
              </c:ext>
            </c:extLst>
          </c:dPt>
          <c:dPt>
            <c:idx val="2"/>
            <c:invertIfNegative val="0"/>
            <c:bubble3D val="0"/>
            <c:spPr>
              <a:solidFill>
                <a:srgbClr val="007EA3"/>
              </a:solidFill>
              <a:ln>
                <a:noFill/>
              </a:ln>
            </c:spPr>
            <c:extLst>
              <c:ext xmlns:c16="http://schemas.microsoft.com/office/drawing/2014/chart" uri="{C3380CC4-5D6E-409C-BE32-E72D297353CC}">
                <c16:uniqueId val="{00000003-4200-4854-A9E4-64C269A6D920}"/>
              </c:ext>
            </c:extLst>
          </c:dPt>
          <c:dPt>
            <c:idx val="3"/>
            <c:invertIfNegative val="0"/>
            <c:bubble3D val="0"/>
            <c:spPr>
              <a:solidFill>
                <a:srgbClr val="007EA3"/>
              </a:solidFill>
              <a:ln>
                <a:noFill/>
              </a:ln>
            </c:spPr>
            <c:extLst>
              <c:ext xmlns:c16="http://schemas.microsoft.com/office/drawing/2014/chart" uri="{C3380CC4-5D6E-409C-BE32-E72D297353CC}">
                <c16:uniqueId val="{00000005-4200-4854-A9E4-64C269A6D920}"/>
              </c:ext>
            </c:extLst>
          </c:dPt>
          <c:dPt>
            <c:idx val="4"/>
            <c:invertIfNegative val="0"/>
            <c:bubble3D val="0"/>
            <c:spPr>
              <a:solidFill>
                <a:srgbClr val="007EA3"/>
              </a:solidFill>
              <a:ln>
                <a:noFill/>
              </a:ln>
            </c:spPr>
            <c:extLst>
              <c:ext xmlns:c16="http://schemas.microsoft.com/office/drawing/2014/chart" uri="{C3380CC4-5D6E-409C-BE32-E72D297353CC}">
                <c16:uniqueId val="{00000007-4200-4854-A9E4-64C269A6D920}"/>
              </c:ext>
            </c:extLst>
          </c:dPt>
          <c:dPt>
            <c:idx val="5"/>
            <c:invertIfNegative val="0"/>
            <c:bubble3D val="0"/>
            <c:spPr>
              <a:solidFill>
                <a:srgbClr val="007EA3"/>
              </a:solidFill>
              <a:ln>
                <a:noFill/>
              </a:ln>
            </c:spPr>
            <c:extLst>
              <c:ext xmlns:c16="http://schemas.microsoft.com/office/drawing/2014/chart" uri="{C3380CC4-5D6E-409C-BE32-E72D297353CC}">
                <c16:uniqueId val="{00000009-4200-4854-A9E4-64C269A6D920}"/>
              </c:ext>
            </c:extLst>
          </c:dPt>
          <c:dPt>
            <c:idx val="6"/>
            <c:invertIfNegative val="0"/>
            <c:bubble3D val="0"/>
            <c:spPr>
              <a:solidFill>
                <a:srgbClr val="007EA3"/>
              </a:solidFill>
              <a:ln>
                <a:noFill/>
              </a:ln>
            </c:spPr>
            <c:extLst>
              <c:ext xmlns:c16="http://schemas.microsoft.com/office/drawing/2014/chart" uri="{C3380CC4-5D6E-409C-BE32-E72D297353CC}">
                <c16:uniqueId val="{0000000B-4200-4854-A9E4-64C269A6D920}"/>
              </c:ext>
            </c:extLst>
          </c:dPt>
          <c:dPt>
            <c:idx val="7"/>
            <c:invertIfNegative val="0"/>
            <c:bubble3D val="0"/>
            <c:spPr>
              <a:solidFill>
                <a:srgbClr val="007EA3"/>
              </a:solidFill>
              <a:ln>
                <a:noFill/>
              </a:ln>
            </c:spPr>
            <c:extLst>
              <c:ext xmlns:c16="http://schemas.microsoft.com/office/drawing/2014/chart" uri="{C3380CC4-5D6E-409C-BE32-E72D297353CC}">
                <c16:uniqueId val="{0000000D-4200-4854-A9E4-64C269A6D920}"/>
              </c:ext>
            </c:extLst>
          </c:dPt>
          <c:dPt>
            <c:idx val="9"/>
            <c:invertIfNegative val="0"/>
            <c:bubble3D val="0"/>
            <c:spPr>
              <a:solidFill>
                <a:srgbClr val="007EA3"/>
              </a:solidFill>
              <a:ln>
                <a:noFill/>
              </a:ln>
            </c:spPr>
            <c:extLst>
              <c:ext xmlns:c16="http://schemas.microsoft.com/office/drawing/2014/chart" uri="{C3380CC4-5D6E-409C-BE32-E72D297353CC}">
                <c16:uniqueId val="{0000000F-4200-4854-A9E4-64C269A6D920}"/>
              </c:ext>
            </c:extLst>
          </c:dPt>
          <c:cat>
            <c:strRef>
              <c:f>GraphData!$F$13:$F$24</c:f>
              <c:strCache>
                <c:ptCount val="12"/>
                <c:pt idx="0">
                  <c:v> 2019/20 average residential bill </c:v>
                </c:pt>
                <c:pt idx="1">
                  <c:v> RCV </c:v>
                </c:pt>
                <c:pt idx="2">
                  <c:v> Totex </c:v>
                </c:pt>
                <c:pt idx="3">
                  <c:v> PAYG% </c:v>
                </c:pt>
                <c:pt idx="4">
                  <c:v> Run-off rate </c:v>
                </c:pt>
                <c:pt idx="5">
                  <c:v> WACC </c:v>
                </c:pt>
                <c:pt idx="6">
                  <c:v> Other wholesale items </c:v>
                </c:pt>
                <c:pt idx="7">
                  <c:v> Wholesale reconciliations items </c:v>
                </c:pt>
                <c:pt idx="8">
                  <c:v> 5th control </c:v>
                </c:pt>
                <c:pt idx="9">
                  <c:v> retail CTS </c:v>
                </c:pt>
                <c:pt idx="10">
                  <c:v> customer numbers and residential apportionment </c:v>
                </c:pt>
                <c:pt idx="11">
                  <c:v> 2024/25 average residential bill </c:v>
                </c:pt>
              </c:strCache>
            </c:strRef>
          </c:cat>
          <c:val>
            <c:numRef>
              <c:f>GraphData!$H$13:$H$24</c:f>
              <c:numCache>
                <c:formatCode>_(* #,##0_);_(* \(#,##0\);_(* "-"??_);_(@_)</c:formatCode>
                <c:ptCount val="12"/>
                <c:pt idx="0">
                  <c:v>410.54744913987486</c:v>
                </c:pt>
                <c:pt idx="11">
                  <c:v>384.36912448169937</c:v>
                </c:pt>
              </c:numCache>
            </c:numRef>
          </c:val>
          <c:extLst>
            <c:ext xmlns:c16="http://schemas.microsoft.com/office/drawing/2014/chart" uri="{C3380CC4-5D6E-409C-BE32-E72D297353CC}">
              <c16:uniqueId val="{00000010-4200-4854-A9E4-64C269A6D920}"/>
            </c:ext>
          </c:extLst>
        </c:ser>
        <c:ser>
          <c:idx val="0"/>
          <c:order val="1"/>
          <c:tx>
            <c:strRef>
              <c:f>GraphData!$I$12</c:f>
              <c:strCache>
                <c:ptCount val="1"/>
                <c:pt idx="0">
                  <c:v> Blank </c:v>
                </c:pt>
              </c:strCache>
            </c:strRef>
          </c:tx>
          <c:spPr>
            <a:noFill/>
          </c:spPr>
          <c:invertIfNegative val="0"/>
          <c:cat>
            <c:strRef>
              <c:f>GraphData!$F$13:$F$24</c:f>
              <c:strCache>
                <c:ptCount val="12"/>
                <c:pt idx="0">
                  <c:v> 2019/20 average residential bill </c:v>
                </c:pt>
                <c:pt idx="1">
                  <c:v> RCV </c:v>
                </c:pt>
                <c:pt idx="2">
                  <c:v> Totex </c:v>
                </c:pt>
                <c:pt idx="3">
                  <c:v> PAYG% </c:v>
                </c:pt>
                <c:pt idx="4">
                  <c:v> Run-off rate </c:v>
                </c:pt>
                <c:pt idx="5">
                  <c:v> WACC </c:v>
                </c:pt>
                <c:pt idx="6">
                  <c:v> Other wholesale items </c:v>
                </c:pt>
                <c:pt idx="7">
                  <c:v> Wholesale reconciliations items </c:v>
                </c:pt>
                <c:pt idx="8">
                  <c:v> 5th control </c:v>
                </c:pt>
                <c:pt idx="9">
                  <c:v> retail CTS </c:v>
                </c:pt>
                <c:pt idx="10">
                  <c:v> customer numbers and residential apportionment </c:v>
                </c:pt>
                <c:pt idx="11">
                  <c:v> 2024/25 average residential bill </c:v>
                </c:pt>
              </c:strCache>
            </c:strRef>
          </c:cat>
          <c:val>
            <c:numRef>
              <c:f>GraphData!$I$13:$I$24</c:f>
              <c:numCache>
                <c:formatCode>_(* #,##0_);_(* \(#,##0\);_(* "-"??_);_(@_)</c:formatCode>
                <c:ptCount val="12"/>
                <c:pt idx="1">
                  <c:v>410.54744913987486</c:v>
                </c:pt>
                <c:pt idx="2">
                  <c:v>444.16853156710079</c:v>
                </c:pt>
                <c:pt idx="3">
                  <c:v>431.14534706460978</c:v>
                </c:pt>
                <c:pt idx="4">
                  <c:v>431.14534706460978</c:v>
                </c:pt>
                <c:pt idx="5">
                  <c:v>433.04060159005087</c:v>
                </c:pt>
                <c:pt idx="6">
                  <c:v>430.6326668833035</c:v>
                </c:pt>
                <c:pt idx="7">
                  <c:v>430.6326668833035</c:v>
                </c:pt>
                <c:pt idx="8">
                  <c:v>415.79945976514909</c:v>
                </c:pt>
                <c:pt idx="9">
                  <c:v>410.09217133163673</c:v>
                </c:pt>
                <c:pt idx="10">
                  <c:v>384.36912448169937</c:v>
                </c:pt>
              </c:numCache>
            </c:numRef>
          </c:val>
          <c:extLst>
            <c:ext xmlns:c16="http://schemas.microsoft.com/office/drawing/2014/chart" uri="{C3380CC4-5D6E-409C-BE32-E72D297353CC}">
              <c16:uniqueId val="{00000011-4200-4854-A9E4-64C269A6D920}"/>
            </c:ext>
          </c:extLst>
        </c:ser>
        <c:ser>
          <c:idx val="2"/>
          <c:order val="2"/>
          <c:tx>
            <c:strRef>
              <c:f>GraphData!$J$12</c:f>
              <c:strCache>
                <c:ptCount val="1"/>
                <c:pt idx="0">
                  <c:v> Up &gt; 0 </c:v>
                </c:pt>
              </c:strCache>
            </c:strRef>
          </c:tx>
          <c:spPr>
            <a:solidFill>
              <a:srgbClr val="953735"/>
            </a:solidFill>
          </c:spPr>
          <c:invertIfNegative val="0"/>
          <c:cat>
            <c:strRef>
              <c:f>GraphData!$F$13:$F$24</c:f>
              <c:strCache>
                <c:ptCount val="12"/>
                <c:pt idx="0">
                  <c:v> 2019/20 average residential bill </c:v>
                </c:pt>
                <c:pt idx="1">
                  <c:v> RCV </c:v>
                </c:pt>
                <c:pt idx="2">
                  <c:v> Totex </c:v>
                </c:pt>
                <c:pt idx="3">
                  <c:v> PAYG% </c:v>
                </c:pt>
                <c:pt idx="4">
                  <c:v> Run-off rate </c:v>
                </c:pt>
                <c:pt idx="5">
                  <c:v> WACC </c:v>
                </c:pt>
                <c:pt idx="6">
                  <c:v> Other wholesale items </c:v>
                </c:pt>
                <c:pt idx="7">
                  <c:v> Wholesale reconciliations items </c:v>
                </c:pt>
                <c:pt idx="8">
                  <c:v> 5th control </c:v>
                </c:pt>
                <c:pt idx="9">
                  <c:v> retail CTS </c:v>
                </c:pt>
                <c:pt idx="10">
                  <c:v> customer numbers and residential apportionment </c:v>
                </c:pt>
                <c:pt idx="11">
                  <c:v> 2024/25 average residential bill </c:v>
                </c:pt>
              </c:strCache>
            </c:strRef>
          </c:cat>
          <c:val>
            <c:numRef>
              <c:f>GraphData!$J$13:$J$24</c:f>
              <c:numCache>
                <c:formatCode>_(* #,##0_);_(* \(#,##0\);_(* "-"??_);_(@_)</c:formatCode>
                <c:ptCount val="12"/>
                <c:pt idx="1">
                  <c:v>33.6210824272259</c:v>
                </c:pt>
                <c:pt idx="2">
                  <c:v>28.368434114713196</c:v>
                </c:pt>
                <c:pt idx="3">
                  <c:v>0</c:v>
                </c:pt>
                <c:pt idx="4">
                  <c:v>15.817690514840224</c:v>
                </c:pt>
                <c:pt idx="5">
                  <c:v>0</c:v>
                </c:pt>
                <c:pt idx="6">
                  <c:v>0</c:v>
                </c:pt>
                <c:pt idx="7">
                  <c:v>1.2510482706703037</c:v>
                </c:pt>
                <c:pt idx="8">
                  <c:v>0</c:v>
                </c:pt>
                <c:pt idx="9">
                  <c:v>0</c:v>
                </c:pt>
                <c:pt idx="10">
                  <c:v>0</c:v>
                </c:pt>
              </c:numCache>
            </c:numRef>
          </c:val>
          <c:extLst>
            <c:ext xmlns:c16="http://schemas.microsoft.com/office/drawing/2014/chart" uri="{C3380CC4-5D6E-409C-BE32-E72D297353CC}">
              <c16:uniqueId val="{00000012-4200-4854-A9E4-64C269A6D920}"/>
            </c:ext>
          </c:extLst>
        </c:ser>
        <c:ser>
          <c:idx val="3"/>
          <c:order val="3"/>
          <c:tx>
            <c:strRef>
              <c:f>GraphData!$K$12</c:f>
              <c:strCache>
                <c:ptCount val="1"/>
                <c:pt idx="0">
                  <c:v> Up &lt;0 </c:v>
                </c:pt>
              </c:strCache>
            </c:strRef>
          </c:tx>
          <c:spPr>
            <a:solidFill>
              <a:srgbClr val="C86664"/>
            </a:solidFill>
          </c:spPr>
          <c:invertIfNegative val="0"/>
          <c:cat>
            <c:strRef>
              <c:f>GraphData!$F$13:$F$24</c:f>
              <c:strCache>
                <c:ptCount val="12"/>
                <c:pt idx="0">
                  <c:v> 2019/20 average residential bill </c:v>
                </c:pt>
                <c:pt idx="1">
                  <c:v> RCV </c:v>
                </c:pt>
                <c:pt idx="2">
                  <c:v> Totex </c:v>
                </c:pt>
                <c:pt idx="3">
                  <c:v> PAYG% </c:v>
                </c:pt>
                <c:pt idx="4">
                  <c:v> Run-off rate </c:v>
                </c:pt>
                <c:pt idx="5">
                  <c:v> WACC </c:v>
                </c:pt>
                <c:pt idx="6">
                  <c:v> Other wholesale items </c:v>
                </c:pt>
                <c:pt idx="7">
                  <c:v> Wholesale reconciliations items </c:v>
                </c:pt>
                <c:pt idx="8">
                  <c:v> 5th control </c:v>
                </c:pt>
                <c:pt idx="9">
                  <c:v> retail CTS </c:v>
                </c:pt>
                <c:pt idx="10">
                  <c:v> customer numbers and residential apportionment </c:v>
                </c:pt>
                <c:pt idx="11">
                  <c:v> 2024/25 average residential bill </c:v>
                </c:pt>
              </c:strCache>
            </c:strRef>
          </c:cat>
          <c:val>
            <c:numRef>
              <c:f>GraphData!$K$13:$K$24</c:f>
              <c:numCache>
                <c:formatCode>_(* #,##0_);_(* \(#,##0\);_(* "-"??_);_(@_)</c:formatCode>
                <c:ptCount val="12"/>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13-4200-4854-A9E4-64C269A6D920}"/>
            </c:ext>
          </c:extLst>
        </c:ser>
        <c:ser>
          <c:idx val="4"/>
          <c:order val="4"/>
          <c:tx>
            <c:strRef>
              <c:f>GraphData!$L$12</c:f>
              <c:strCache>
                <c:ptCount val="1"/>
                <c:pt idx="0">
                  <c:v> Down &gt; 0 </c:v>
                </c:pt>
              </c:strCache>
            </c:strRef>
          </c:tx>
          <c:spPr>
            <a:solidFill>
              <a:srgbClr val="9BBB59"/>
            </a:solidFill>
          </c:spPr>
          <c:invertIfNegative val="0"/>
          <c:cat>
            <c:strRef>
              <c:f>GraphData!$F$13:$F$24</c:f>
              <c:strCache>
                <c:ptCount val="12"/>
                <c:pt idx="0">
                  <c:v> 2019/20 average residential bill </c:v>
                </c:pt>
                <c:pt idx="1">
                  <c:v> RCV </c:v>
                </c:pt>
                <c:pt idx="2">
                  <c:v> Totex </c:v>
                </c:pt>
                <c:pt idx="3">
                  <c:v> PAYG% </c:v>
                </c:pt>
                <c:pt idx="4">
                  <c:v> Run-off rate </c:v>
                </c:pt>
                <c:pt idx="5">
                  <c:v> WACC </c:v>
                </c:pt>
                <c:pt idx="6">
                  <c:v> Other wholesale items </c:v>
                </c:pt>
                <c:pt idx="7">
                  <c:v> Wholesale reconciliations items </c:v>
                </c:pt>
                <c:pt idx="8">
                  <c:v> 5th control </c:v>
                </c:pt>
                <c:pt idx="9">
                  <c:v> retail CTS </c:v>
                </c:pt>
                <c:pt idx="10">
                  <c:v> customer numbers and residential apportionment </c:v>
                </c:pt>
                <c:pt idx="11">
                  <c:v> 2024/25 average residential bill </c:v>
                </c:pt>
              </c:strCache>
            </c:strRef>
          </c:cat>
          <c:val>
            <c:numRef>
              <c:f>GraphData!$L$13:$L$24</c:f>
              <c:numCache>
                <c:formatCode>_(* #,##0_);_(* \(#,##0\);_(* "-"??_);_(@_)</c:formatCode>
                <c:ptCount val="12"/>
                <c:pt idx="1">
                  <c:v>0</c:v>
                </c:pt>
                <c:pt idx="2">
                  <c:v>0</c:v>
                </c:pt>
                <c:pt idx="3">
                  <c:v>41.391618617204166</c:v>
                </c:pt>
                <c:pt idx="4">
                  <c:v>0</c:v>
                </c:pt>
                <c:pt idx="5">
                  <c:v>13.92243598939918</c:v>
                </c:pt>
                <c:pt idx="6">
                  <c:v>2.407934706747386</c:v>
                </c:pt>
                <c:pt idx="7">
                  <c:v>0</c:v>
                </c:pt>
                <c:pt idx="8">
                  <c:v>16.084255388824719</c:v>
                </c:pt>
                <c:pt idx="9">
                  <c:v>5.7072884335123604</c:v>
                </c:pt>
                <c:pt idx="10">
                  <c:v>25.723046849937333</c:v>
                </c:pt>
              </c:numCache>
            </c:numRef>
          </c:val>
          <c:extLst>
            <c:ext xmlns:c16="http://schemas.microsoft.com/office/drawing/2014/chart" uri="{C3380CC4-5D6E-409C-BE32-E72D297353CC}">
              <c16:uniqueId val="{00000014-4200-4854-A9E4-64C269A6D920}"/>
            </c:ext>
          </c:extLst>
        </c:ser>
        <c:ser>
          <c:idx val="5"/>
          <c:order val="5"/>
          <c:tx>
            <c:strRef>
              <c:f>GraphData!$M$12</c:f>
              <c:strCache>
                <c:ptCount val="1"/>
                <c:pt idx="0">
                  <c:v> Down &lt; 0 </c:v>
                </c:pt>
              </c:strCache>
            </c:strRef>
          </c:tx>
          <c:spPr>
            <a:solidFill>
              <a:srgbClr val="B9D08C"/>
            </a:solidFill>
          </c:spPr>
          <c:invertIfNegative val="0"/>
          <c:cat>
            <c:strRef>
              <c:f>GraphData!$F$13:$F$24</c:f>
              <c:strCache>
                <c:ptCount val="12"/>
                <c:pt idx="0">
                  <c:v> 2019/20 average residential bill </c:v>
                </c:pt>
                <c:pt idx="1">
                  <c:v> RCV </c:v>
                </c:pt>
                <c:pt idx="2">
                  <c:v> Totex </c:v>
                </c:pt>
                <c:pt idx="3">
                  <c:v> PAYG% </c:v>
                </c:pt>
                <c:pt idx="4">
                  <c:v> Run-off rate </c:v>
                </c:pt>
                <c:pt idx="5">
                  <c:v> WACC </c:v>
                </c:pt>
                <c:pt idx="6">
                  <c:v> Other wholesale items </c:v>
                </c:pt>
                <c:pt idx="7">
                  <c:v> Wholesale reconciliations items </c:v>
                </c:pt>
                <c:pt idx="8">
                  <c:v> 5th control </c:v>
                </c:pt>
                <c:pt idx="9">
                  <c:v> retail CTS </c:v>
                </c:pt>
                <c:pt idx="10">
                  <c:v> customer numbers and residential apportionment </c:v>
                </c:pt>
                <c:pt idx="11">
                  <c:v> 2024/25 average residential bill </c:v>
                </c:pt>
              </c:strCache>
            </c:strRef>
          </c:cat>
          <c:val>
            <c:numRef>
              <c:f>GraphData!$M$13:$M$24</c:f>
              <c:numCache>
                <c:formatCode>_(* #,##0_);_(* \(#,##0\);_(* "-"??_);_(@_)</c:formatCode>
                <c:ptCount val="12"/>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15-4200-4854-A9E4-64C269A6D920}"/>
            </c:ext>
          </c:extLst>
        </c:ser>
        <c:dLbls>
          <c:showLegendKey val="0"/>
          <c:showVal val="0"/>
          <c:showCatName val="0"/>
          <c:showSerName val="0"/>
          <c:showPercent val="0"/>
          <c:showBubbleSize val="0"/>
        </c:dLbls>
        <c:gapWidth val="33"/>
        <c:overlap val="100"/>
        <c:axId val="103876480"/>
        <c:axId val="103912960"/>
      </c:barChart>
      <c:catAx>
        <c:axId val="103876480"/>
        <c:scaling>
          <c:orientation val="minMax"/>
        </c:scaling>
        <c:delete val="0"/>
        <c:axPos val="b"/>
        <c:title>
          <c:tx>
            <c:rich>
              <a:bodyPr/>
              <a:lstStyle/>
              <a:p>
                <a:pPr>
                  <a:defRPr/>
                </a:pPr>
                <a:r>
                  <a:rPr lang="en-GB" sz="1000" b="1" i="0" baseline="0">
                    <a:effectLst/>
                  </a:rPr>
                  <a:t>Change in bill components</a:t>
                </a:r>
                <a:endParaRPr lang="en-GB" sz="1000">
                  <a:effectLst/>
                </a:endParaRPr>
              </a:p>
            </c:rich>
          </c:tx>
          <c:overlay val="0"/>
        </c:title>
        <c:numFmt formatCode="General" sourceLinked="0"/>
        <c:majorTickMark val="out"/>
        <c:minorTickMark val="none"/>
        <c:tickLblPos val="nextTo"/>
        <c:spPr>
          <a:ln>
            <a:solidFill>
              <a:schemeClr val="bg1">
                <a:lumMod val="85000"/>
              </a:schemeClr>
            </a:solidFill>
          </a:ln>
        </c:spPr>
        <c:txPr>
          <a:bodyPr/>
          <a:lstStyle/>
          <a:p>
            <a:pPr>
              <a:defRPr sz="600"/>
            </a:pPr>
            <a:endParaRPr lang="en-US"/>
          </a:p>
        </c:txPr>
        <c:crossAx val="103912960"/>
        <c:crosses val="autoZero"/>
        <c:auto val="1"/>
        <c:lblAlgn val="ctr"/>
        <c:lblOffset val="100"/>
        <c:noMultiLvlLbl val="0"/>
      </c:catAx>
      <c:valAx>
        <c:axId val="103912960"/>
        <c:scaling>
          <c:orientation val="minMax"/>
          <c:max val="450"/>
          <c:min val="300"/>
        </c:scaling>
        <c:delete val="0"/>
        <c:axPos val="l"/>
        <c:majorGridlines>
          <c:spPr>
            <a:ln>
              <a:solidFill>
                <a:schemeClr val="bg1">
                  <a:lumMod val="85000"/>
                </a:schemeClr>
              </a:solidFill>
            </a:ln>
          </c:spPr>
        </c:majorGridlines>
        <c:title>
          <c:tx>
            <c:rich>
              <a:bodyPr rot="-5400000" vert="horz" anchor="ctr" anchorCtr="0"/>
              <a:lstStyle/>
              <a:p>
                <a:pPr>
                  <a:defRPr/>
                </a:pPr>
                <a:r>
                  <a:rPr lang="en-US"/>
                  <a:t>Financial value of change, £ per customer</a:t>
                </a:r>
              </a:p>
            </c:rich>
          </c:tx>
          <c:layout>
            <c:manualLayout>
              <c:xMode val="edge"/>
              <c:yMode val="edge"/>
              <c:x val="3.1347923890992495E-2"/>
              <c:y val="0.25653039630022267"/>
            </c:manualLayout>
          </c:layout>
          <c:overlay val="0"/>
        </c:title>
        <c:numFmt formatCode="_(* #,##0_);_(* \(#,##0\);_(* &quot;-&quot;??_);_(@_)" sourceLinked="1"/>
        <c:majorTickMark val="out"/>
        <c:minorTickMark val="none"/>
        <c:tickLblPos val="nextTo"/>
        <c:spPr>
          <a:ln>
            <a:solidFill>
              <a:schemeClr val="bg1">
                <a:lumMod val="85000"/>
              </a:schemeClr>
            </a:solidFill>
          </a:ln>
        </c:spPr>
        <c:crossAx val="103876480"/>
        <c:crosses val="autoZero"/>
        <c:crossBetween val="between"/>
      </c:valAx>
    </c:plotArea>
    <c:plotVisOnly val="1"/>
    <c:dispBlanksAs val="gap"/>
    <c:showDLblsOverMax val="0"/>
  </c:chart>
  <c:txPr>
    <a:bodyPr/>
    <a:lstStyle/>
    <a:p>
      <a:pPr>
        <a:defRPr>
          <a:latin typeface="Arial" pitchFamily="34" charset="0"/>
          <a:cs typeface="Arial" pitchFamily="34" charset="0"/>
        </a:defRPr>
      </a:pPr>
      <a:endParaRPr lang="en-US"/>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100-000000000000}">
  <sheetPr codeName="Chart11">
    <tabColor rgb="FF99CCFF"/>
  </sheetPr>
  <sheetViews>
    <sheetView zoomScale="109" workbookViewId="0"/>
  </sheetViews>
  <pageMargins left="0.70866141732283472" right="0.70866141732283472" top="0.74803149606299213" bottom="0.74803149606299213" header="0.31496062992125984" footer="0.31496062992125984"/>
  <pageSetup paperSize="9" orientation="landscape" r:id="rId1"/>
  <headerFooter>
    <oddFooter>&amp;L&amp;F ( Printed on &amp;D at &amp;T )&amp;ROFWAT</oddFooter>
  </headerFooter>
  <drawing r:id="rId2"/>
</chartsheet>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8" Type="http://schemas.openxmlformats.org/officeDocument/2006/relationships/hyperlink" Target="#RCV!E395"/><Relationship Id="rId13" Type="http://schemas.openxmlformats.org/officeDocument/2006/relationships/hyperlink" Target="#Reconciliation!E66"/><Relationship Id="rId3" Type="http://schemas.openxmlformats.org/officeDocument/2006/relationships/hyperlink" Target="#Retail!E24"/><Relationship Id="rId7" Type="http://schemas.openxmlformats.org/officeDocument/2006/relationships/hyperlink" Target="#Totex!E144"/><Relationship Id="rId12" Type="http://schemas.openxmlformats.org/officeDocument/2006/relationships/hyperlink" Target="#Summary_Calc!E39"/><Relationship Id="rId2" Type="http://schemas.openxmlformats.org/officeDocument/2006/relationships/hyperlink" Target="#Summary_Calc!E41"/><Relationship Id="rId1" Type="http://schemas.openxmlformats.org/officeDocument/2006/relationships/hyperlink" Target="#Summary_Calc!E33"/><Relationship Id="rId6" Type="http://schemas.openxmlformats.org/officeDocument/2006/relationships/hyperlink" Target="#RCV!E391"/><Relationship Id="rId11" Type="http://schemas.openxmlformats.org/officeDocument/2006/relationships/hyperlink" Target="#Totex!E140"/><Relationship Id="rId5" Type="http://schemas.openxmlformats.org/officeDocument/2006/relationships/hyperlink" Target="#Wholesale!E64"/><Relationship Id="rId10" Type="http://schemas.openxmlformats.org/officeDocument/2006/relationships/hyperlink" Target="#RCV!E553"/><Relationship Id="rId4" Type="http://schemas.openxmlformats.org/officeDocument/2006/relationships/hyperlink" Target="#Customers!E147"/><Relationship Id="rId9" Type="http://schemas.openxmlformats.org/officeDocument/2006/relationships/hyperlink" Target="#RCV!E549"/><Relationship Id="rId14" Type="http://schemas.openxmlformats.org/officeDocument/2006/relationships/hyperlink" Target="#Summary_Calc!E40"/></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6</xdr:col>
      <xdr:colOff>511469</xdr:colOff>
      <xdr:row>2</xdr:row>
      <xdr:rowOff>226213</xdr:rowOff>
    </xdr:from>
    <xdr:to>
      <xdr:col>6</xdr:col>
      <xdr:colOff>3131336</xdr:colOff>
      <xdr:row>6</xdr:row>
      <xdr:rowOff>95247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74519" y="673888"/>
          <a:ext cx="2619867" cy="7834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2964180</xdr:colOff>
          <xdr:row>31</xdr:row>
          <xdr:rowOff>22860</xdr:rowOff>
        </xdr:from>
        <xdr:to>
          <xdr:col>4</xdr:col>
          <xdr:colOff>5334000</xdr:colOff>
          <xdr:row>32</xdr:row>
          <xdr:rowOff>22860</xdr:rowOff>
        </xdr:to>
        <xdr:sp macro="" textlink="">
          <xdr:nvSpPr>
            <xdr:cNvPr id="47105" name="Button 1" hidden="1">
              <a:extLst>
                <a:ext uri="{63B3BB69-23CF-44E3-9099-C40C66FF867C}">
                  <a14:compatExt spid="_x0000_s47105"/>
                </a:ext>
                <a:ext uri="{FF2B5EF4-FFF2-40B4-BE49-F238E27FC236}">
                  <a16:creationId xmlns:a16="http://schemas.microsoft.com/office/drawing/2014/main" id="{00000000-0008-0000-0100-000001B8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Save as PDF</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60960</xdr:colOff>
          <xdr:row>109</xdr:row>
          <xdr:rowOff>99060</xdr:rowOff>
        </xdr:from>
        <xdr:to>
          <xdr:col>13</xdr:col>
          <xdr:colOff>30480</xdr:colOff>
          <xdr:row>111</xdr:row>
          <xdr:rowOff>114300</xdr:rowOff>
        </xdr:to>
        <xdr:sp macro="" textlink="">
          <xdr:nvSpPr>
            <xdr:cNvPr id="27649" name="Button 1" hidden="1">
              <a:extLst>
                <a:ext uri="{63B3BB69-23CF-44E3-9099-C40C66FF867C}">
                  <a14:compatExt spid="_x0000_s27649"/>
                </a:ext>
                <a:ext uri="{FF2B5EF4-FFF2-40B4-BE49-F238E27FC236}">
                  <a16:creationId xmlns:a16="http://schemas.microsoft.com/office/drawing/2014/main" id="{00000000-0008-0000-0200-0000016C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000" b="0" i="0" u="none" strike="noStrike" baseline="0">
                  <a:solidFill>
                    <a:srgbClr val="000000"/>
                  </a:solidFill>
                  <a:latin typeface="Arial"/>
                  <a:cs typeface="Arial"/>
                </a:rPr>
                <a:t>Save as PDF</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5</xdr:col>
      <xdr:colOff>208360</xdr:colOff>
      <xdr:row>16</xdr:row>
      <xdr:rowOff>47625</xdr:rowOff>
    </xdr:from>
    <xdr:to>
      <xdr:col>7</xdr:col>
      <xdr:colOff>1250156</xdr:colOff>
      <xdr:row>20</xdr:row>
      <xdr:rowOff>149678</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11824" y="2986768"/>
          <a:ext cx="1531653" cy="755196"/>
        </a:xfrm>
        <a:prstGeom prst="roundRect">
          <a:avLst/>
        </a:prstGeom>
        <a:solidFill>
          <a:schemeClr val="bg1">
            <a:lumMod val="85000"/>
          </a:schemeClr>
        </a:solidFill>
        <a:ln w="317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Residential Bill Movement, </a:t>
          </a:r>
          <a:r>
            <a:rPr lang="en-GB" sz="1200">
              <a:solidFill>
                <a:srgbClr val="0070C0"/>
              </a:solidFill>
              <a:latin typeface="Arial" panose="020B0604020202020204" pitchFamily="34" charset="0"/>
              <a:cs typeface="Arial" panose="020B0604020202020204" pitchFamily="34" charset="0"/>
            </a:rPr>
            <a:t>£/customer</a:t>
          </a:r>
        </a:p>
      </xdr:txBody>
    </xdr:sp>
    <xdr:clientData/>
  </xdr:twoCellAnchor>
  <xdr:twoCellAnchor>
    <xdr:from>
      <xdr:col>7</xdr:col>
      <xdr:colOff>1190624</xdr:colOff>
      <xdr:row>9</xdr:row>
      <xdr:rowOff>17859</xdr:rowOff>
    </xdr:from>
    <xdr:to>
      <xdr:col>11</xdr:col>
      <xdr:colOff>95248</xdr:colOff>
      <xdr:row>14</xdr:row>
      <xdr:rowOff>71438</xdr:rowOff>
    </xdr:to>
    <xdr:sp macro="" textlink="">
      <xdr:nvSpPr>
        <xdr:cNvPr id="3" name="Rounded Rectangle 2">
          <a:extLst>
            <a:ext uri="{FF2B5EF4-FFF2-40B4-BE49-F238E27FC236}">
              <a16:creationId xmlns:a16="http://schemas.microsoft.com/office/drawing/2014/main" id="{00000000-0008-0000-0300-000003000000}"/>
            </a:ext>
          </a:extLst>
        </xdr:cNvPr>
        <xdr:cNvSpPr/>
      </xdr:nvSpPr>
      <xdr:spPr>
        <a:xfrm>
          <a:off x="2190749" y="1815703"/>
          <a:ext cx="1797843" cy="887016"/>
        </a:xfrm>
        <a:prstGeom prst="roundRect">
          <a:avLst/>
        </a:prstGeom>
        <a:noFill/>
        <a:ln>
          <a:solidFill>
            <a:srgbClr val="385D8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GB" sz="1200">
              <a:solidFill>
                <a:sysClr val="windowText" lastClr="000000"/>
              </a:solidFill>
              <a:latin typeface="Arial" panose="020B0604020202020204" pitchFamily="34" charset="0"/>
              <a:cs typeface="Arial" panose="020B0604020202020204" pitchFamily="34" charset="0"/>
            </a:rPr>
            <a:t>Change in wholesale component of the bill, </a:t>
          </a:r>
          <a:r>
            <a:rPr lang="en-GB" sz="1200">
              <a:solidFill>
                <a:srgbClr val="0070C0"/>
              </a:solidFill>
              <a:latin typeface="Arial" panose="020B0604020202020204" pitchFamily="34" charset="0"/>
              <a:cs typeface="Arial" panose="020B0604020202020204" pitchFamily="34" charset="0"/>
            </a:rPr>
            <a:t>£/customer</a:t>
          </a:r>
        </a:p>
      </xdr:txBody>
    </xdr:sp>
    <xdr:clientData/>
  </xdr:twoCellAnchor>
  <xdr:twoCellAnchor>
    <xdr:from>
      <xdr:col>7</xdr:col>
      <xdr:colOff>1220392</xdr:colOff>
      <xdr:row>24</xdr:row>
      <xdr:rowOff>47623</xdr:rowOff>
    </xdr:from>
    <xdr:to>
      <xdr:col>11</xdr:col>
      <xdr:colOff>125767</xdr:colOff>
      <xdr:row>29</xdr:row>
      <xdr:rowOff>99785</xdr:rowOff>
    </xdr:to>
    <xdr:sp macro="" textlink="">
      <xdr:nvSpPr>
        <xdr:cNvPr id="4" name="Rounded Rectangle 3">
          <a:extLst>
            <a:ext uri="{FF2B5EF4-FFF2-40B4-BE49-F238E27FC236}">
              <a16:creationId xmlns:a16="http://schemas.microsoft.com/office/drawing/2014/main" id="{00000000-0008-0000-0300-000004000000}"/>
            </a:ext>
          </a:extLst>
        </xdr:cNvPr>
        <xdr:cNvSpPr/>
      </xdr:nvSpPr>
      <xdr:spPr>
        <a:xfrm>
          <a:off x="2239567" y="9725023"/>
          <a:ext cx="1629525" cy="861787"/>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Change in retail component of the bill, </a:t>
          </a:r>
          <a:r>
            <a:rPr lang="en-GB" sz="1200">
              <a:solidFill>
                <a:srgbClr val="0070C0"/>
              </a:solidFill>
              <a:latin typeface="Arial" panose="020B0604020202020204" pitchFamily="34" charset="0"/>
              <a:cs typeface="Arial" panose="020B0604020202020204" pitchFamily="34" charset="0"/>
            </a:rPr>
            <a:t>£/customer</a:t>
          </a:r>
        </a:p>
      </xdr:txBody>
    </xdr:sp>
    <xdr:clientData/>
  </xdr:twoCellAnchor>
  <xdr:twoCellAnchor>
    <xdr:from>
      <xdr:col>7</xdr:col>
      <xdr:colOff>484330</xdr:colOff>
      <xdr:row>11</xdr:row>
      <xdr:rowOff>126292</xdr:rowOff>
    </xdr:from>
    <xdr:to>
      <xdr:col>7</xdr:col>
      <xdr:colOff>1190624</xdr:colOff>
      <xdr:row>16</xdr:row>
      <xdr:rowOff>47625</xdr:rowOff>
    </xdr:to>
    <xdr:cxnSp macro="">
      <xdr:nvCxnSpPr>
        <xdr:cNvPr id="5" name="Elbow Connector 4">
          <a:extLst>
            <a:ext uri="{FF2B5EF4-FFF2-40B4-BE49-F238E27FC236}">
              <a16:creationId xmlns:a16="http://schemas.microsoft.com/office/drawing/2014/main" id="{00000000-0008-0000-0300-000005000000}"/>
            </a:ext>
          </a:extLst>
        </xdr:cNvPr>
        <xdr:cNvCxnSpPr>
          <a:stCxn id="2" idx="0"/>
          <a:endCxn id="3" idx="1"/>
        </xdr:cNvCxnSpPr>
      </xdr:nvCxnSpPr>
      <xdr:spPr>
        <a:xfrm rot="5400000" flipH="1" flipV="1">
          <a:off x="1461917" y="2264740"/>
          <a:ext cx="737762" cy="706294"/>
        </a:xfrm>
        <a:prstGeom prst="bentConnector2">
          <a:avLst/>
        </a:prstGeom>
        <a:ln w="50800">
          <a:solidFill>
            <a:schemeClr val="accent1">
              <a:shade val="95000"/>
              <a:satMod val="10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484331</xdr:colOff>
      <xdr:row>20</xdr:row>
      <xdr:rowOff>149677</xdr:rowOff>
    </xdr:from>
    <xdr:to>
      <xdr:col>7</xdr:col>
      <xdr:colOff>1220393</xdr:colOff>
      <xdr:row>26</xdr:row>
      <xdr:rowOff>155346</xdr:rowOff>
    </xdr:to>
    <xdr:cxnSp macro="">
      <xdr:nvCxnSpPr>
        <xdr:cNvPr id="6" name="Elbow Connector 5">
          <a:extLst>
            <a:ext uri="{FF2B5EF4-FFF2-40B4-BE49-F238E27FC236}">
              <a16:creationId xmlns:a16="http://schemas.microsoft.com/office/drawing/2014/main" id="{00000000-0008-0000-0300-000006000000}"/>
            </a:ext>
          </a:extLst>
        </xdr:cNvPr>
        <xdr:cNvCxnSpPr>
          <a:stCxn id="2" idx="2"/>
          <a:endCxn id="4" idx="1"/>
        </xdr:cNvCxnSpPr>
      </xdr:nvCxnSpPr>
      <xdr:spPr>
        <a:xfrm rot="16200000" flipH="1">
          <a:off x="1352991" y="3866624"/>
          <a:ext cx="985383" cy="736062"/>
        </a:xfrm>
        <a:prstGeom prst="bentConnector2">
          <a:avLst/>
        </a:prstGeom>
        <a:ln w="508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842476</xdr:colOff>
      <xdr:row>7</xdr:row>
      <xdr:rowOff>116856</xdr:rowOff>
    </xdr:from>
    <xdr:to>
      <xdr:col>13</xdr:col>
      <xdr:colOff>220687</xdr:colOff>
      <xdr:row>12</xdr:row>
      <xdr:rowOff>18267</xdr:rowOff>
    </xdr:to>
    <xdr:sp macro="" textlink="">
      <xdr:nvSpPr>
        <xdr:cNvPr id="7" name="Rounded Rectangle 6">
          <a:hlinkClick xmlns:r="http://schemas.openxmlformats.org/officeDocument/2006/relationships" r:id="rId2"/>
          <a:extLst>
            <a:ext uri="{FF2B5EF4-FFF2-40B4-BE49-F238E27FC236}">
              <a16:creationId xmlns:a16="http://schemas.microsoft.com/office/drawing/2014/main" id="{00000000-0008-0000-0300-000007000000}"/>
            </a:ext>
          </a:extLst>
        </xdr:cNvPr>
        <xdr:cNvSpPr/>
      </xdr:nvSpPr>
      <xdr:spPr>
        <a:xfrm>
          <a:off x="4955865" y="1542078"/>
          <a:ext cx="1713600" cy="712800"/>
        </a:xfrm>
        <a:prstGeom prst="round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Change in allowed revenue, </a:t>
          </a:r>
          <a:r>
            <a:rPr lang="en-GB" sz="1200">
              <a:solidFill>
                <a:srgbClr val="0070C0"/>
              </a:solidFill>
              <a:latin typeface="Arial" panose="020B0604020202020204" pitchFamily="34" charset="0"/>
              <a:cs typeface="Arial" panose="020B0604020202020204" pitchFamily="34" charset="0"/>
            </a:rPr>
            <a:t>£/customer</a:t>
          </a:r>
        </a:p>
      </xdr:txBody>
    </xdr:sp>
    <xdr:clientData/>
  </xdr:twoCellAnchor>
  <xdr:twoCellAnchor>
    <xdr:from>
      <xdr:col>11</xdr:col>
      <xdr:colOff>875108</xdr:colOff>
      <xdr:row>28</xdr:row>
      <xdr:rowOff>142875</xdr:rowOff>
    </xdr:from>
    <xdr:to>
      <xdr:col>13</xdr:col>
      <xdr:colOff>268639</xdr:colOff>
      <xdr:row>33</xdr:row>
      <xdr:rowOff>37304</xdr:rowOff>
    </xdr:to>
    <xdr:sp macro="" textlink="">
      <xdr:nvSpPr>
        <xdr:cNvPr id="8" name="Rounded Rectangle 7">
          <a:hlinkClick xmlns:r="http://schemas.openxmlformats.org/officeDocument/2006/relationships" r:id="rId3"/>
          <a:extLst>
            <a:ext uri="{FF2B5EF4-FFF2-40B4-BE49-F238E27FC236}">
              <a16:creationId xmlns:a16="http://schemas.microsoft.com/office/drawing/2014/main" id="{00000000-0008-0000-0300-000008000000}"/>
            </a:ext>
          </a:extLst>
        </xdr:cNvPr>
        <xdr:cNvSpPr/>
      </xdr:nvSpPr>
      <xdr:spPr>
        <a:xfrm>
          <a:off x="4618433" y="10467975"/>
          <a:ext cx="1622381" cy="704054"/>
        </a:xfrm>
        <a:prstGeom prst="roundRect">
          <a:avLst/>
        </a:prstGeom>
        <a:solidFill>
          <a:schemeClr val="bg1">
            <a:lumMod val="85000"/>
          </a:schemeClr>
        </a:solidFill>
        <a:ln w="317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Change in cost to serve per customer, </a:t>
          </a:r>
          <a:r>
            <a:rPr lang="en-GB" sz="1200">
              <a:solidFill>
                <a:srgbClr val="0070C0"/>
              </a:solidFill>
              <a:latin typeface="Arial" panose="020B0604020202020204" pitchFamily="34" charset="0"/>
              <a:cs typeface="Arial" panose="020B0604020202020204" pitchFamily="34" charset="0"/>
            </a:rPr>
            <a:t>£/customer</a:t>
          </a:r>
        </a:p>
      </xdr:txBody>
    </xdr:sp>
    <xdr:clientData/>
  </xdr:twoCellAnchor>
  <xdr:twoCellAnchor>
    <xdr:from>
      <xdr:col>11</xdr:col>
      <xdr:colOff>849356</xdr:colOff>
      <xdr:row>14</xdr:row>
      <xdr:rowOff>59793</xdr:rowOff>
    </xdr:from>
    <xdr:to>
      <xdr:col>13</xdr:col>
      <xdr:colOff>226659</xdr:colOff>
      <xdr:row>18</xdr:row>
      <xdr:rowOff>121708</xdr:rowOff>
    </xdr:to>
    <xdr:sp macro="" textlink="">
      <xdr:nvSpPr>
        <xdr:cNvPr id="9" name="Rounded Rectangle 8">
          <a:hlinkClick xmlns:r="http://schemas.openxmlformats.org/officeDocument/2006/relationships" r:id="rId4"/>
          <a:extLst>
            <a:ext uri="{FF2B5EF4-FFF2-40B4-BE49-F238E27FC236}">
              <a16:creationId xmlns:a16="http://schemas.microsoft.com/office/drawing/2014/main" id="{00000000-0008-0000-0300-000009000000}"/>
            </a:ext>
          </a:extLst>
        </xdr:cNvPr>
        <xdr:cNvSpPr/>
      </xdr:nvSpPr>
      <xdr:spPr>
        <a:xfrm>
          <a:off x="4962745" y="2620960"/>
          <a:ext cx="1712692" cy="711026"/>
        </a:xfrm>
        <a:prstGeom prst="roundRect">
          <a:avLst/>
        </a:prstGeom>
        <a:solidFill>
          <a:schemeClr val="bg1">
            <a:lumMod val="85000"/>
          </a:schemeClr>
        </a:solidFill>
        <a:ln w="317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Change in customer numbers, </a:t>
          </a:r>
          <a:r>
            <a:rPr lang="en-GB" sz="1200">
              <a:solidFill>
                <a:srgbClr val="0070C0"/>
              </a:solidFill>
              <a:latin typeface="Arial" panose="020B0604020202020204" pitchFamily="34" charset="0"/>
              <a:cs typeface="Arial" panose="020B0604020202020204" pitchFamily="34" charset="0"/>
            </a:rPr>
            <a:t>£/customer</a:t>
          </a:r>
        </a:p>
      </xdr:txBody>
    </xdr:sp>
    <xdr:clientData/>
  </xdr:twoCellAnchor>
  <xdr:twoCellAnchor>
    <xdr:from>
      <xdr:col>11</xdr:col>
      <xdr:colOff>95248</xdr:colOff>
      <xdr:row>9</xdr:row>
      <xdr:rowOff>148700</xdr:rowOff>
    </xdr:from>
    <xdr:to>
      <xdr:col>11</xdr:col>
      <xdr:colOff>842476</xdr:colOff>
      <xdr:row>11</xdr:row>
      <xdr:rowOff>125788</xdr:rowOff>
    </xdr:to>
    <xdr:cxnSp macro="">
      <xdr:nvCxnSpPr>
        <xdr:cNvPr id="10" name="Elbow Connector 9">
          <a:extLst>
            <a:ext uri="{FF2B5EF4-FFF2-40B4-BE49-F238E27FC236}">
              <a16:creationId xmlns:a16="http://schemas.microsoft.com/office/drawing/2014/main" id="{00000000-0008-0000-0300-00000A000000}"/>
            </a:ext>
          </a:extLst>
        </xdr:cNvPr>
        <xdr:cNvCxnSpPr>
          <a:stCxn id="3" idx="3"/>
          <a:endCxn id="7" idx="1"/>
        </xdr:cNvCxnSpPr>
      </xdr:nvCxnSpPr>
      <xdr:spPr>
        <a:xfrm flipV="1">
          <a:off x="4208637" y="1898478"/>
          <a:ext cx="747228" cy="301643"/>
        </a:xfrm>
        <a:prstGeom prst="bentConnector3">
          <a:avLst>
            <a:gd name="adj1" fmla="val 50000"/>
          </a:avLst>
        </a:prstGeom>
        <a:ln w="317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95248</xdr:colOff>
      <xdr:row>11</xdr:row>
      <xdr:rowOff>125788</xdr:rowOff>
    </xdr:from>
    <xdr:to>
      <xdr:col>11</xdr:col>
      <xdr:colOff>849356</xdr:colOff>
      <xdr:row>16</xdr:row>
      <xdr:rowOff>90751</xdr:rowOff>
    </xdr:to>
    <xdr:cxnSp macro="">
      <xdr:nvCxnSpPr>
        <xdr:cNvPr id="11" name="Elbow Connector 10">
          <a:extLst>
            <a:ext uri="{FF2B5EF4-FFF2-40B4-BE49-F238E27FC236}">
              <a16:creationId xmlns:a16="http://schemas.microsoft.com/office/drawing/2014/main" id="{00000000-0008-0000-0300-00000B000000}"/>
            </a:ext>
          </a:extLst>
        </xdr:cNvPr>
        <xdr:cNvCxnSpPr>
          <a:stCxn id="3" idx="3"/>
          <a:endCxn id="9" idx="1"/>
        </xdr:cNvCxnSpPr>
      </xdr:nvCxnSpPr>
      <xdr:spPr>
        <a:xfrm>
          <a:off x="4208637" y="2200121"/>
          <a:ext cx="754108" cy="776352"/>
        </a:xfrm>
        <a:prstGeom prst="bentConnector3">
          <a:avLst>
            <a:gd name="adj1" fmla="val 50000"/>
          </a:avLst>
        </a:prstGeom>
        <a:ln w="317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125767</xdr:colOff>
      <xdr:row>26</xdr:row>
      <xdr:rowOff>157048</xdr:rowOff>
    </xdr:from>
    <xdr:to>
      <xdr:col>11</xdr:col>
      <xdr:colOff>875108</xdr:colOff>
      <xdr:row>31</xdr:row>
      <xdr:rowOff>6746</xdr:rowOff>
    </xdr:to>
    <xdr:cxnSp macro="">
      <xdr:nvCxnSpPr>
        <xdr:cNvPr id="12" name="Elbow Connector 11">
          <a:extLst>
            <a:ext uri="{FF2B5EF4-FFF2-40B4-BE49-F238E27FC236}">
              <a16:creationId xmlns:a16="http://schemas.microsoft.com/office/drawing/2014/main" id="{00000000-0008-0000-0300-00000C000000}"/>
            </a:ext>
          </a:extLst>
        </xdr:cNvPr>
        <xdr:cNvCxnSpPr>
          <a:stCxn id="4" idx="3"/>
          <a:endCxn id="8" idx="1"/>
        </xdr:cNvCxnSpPr>
      </xdr:nvCxnSpPr>
      <xdr:spPr>
        <a:xfrm>
          <a:off x="3869092" y="10158298"/>
          <a:ext cx="749341" cy="659323"/>
        </a:xfrm>
        <a:prstGeom prst="bentConnector3">
          <a:avLst>
            <a:gd name="adj1" fmla="val 42055"/>
          </a:avLst>
        </a:prstGeom>
        <a:ln w="317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910830</xdr:colOff>
      <xdr:row>6</xdr:row>
      <xdr:rowOff>41671</xdr:rowOff>
    </xdr:from>
    <xdr:to>
      <xdr:col>18</xdr:col>
      <xdr:colOff>173674</xdr:colOff>
      <xdr:row>9</xdr:row>
      <xdr:rowOff>23812</xdr:rowOff>
    </xdr:to>
    <xdr:sp macro="" textlink="">
      <xdr:nvSpPr>
        <xdr:cNvPr id="13" name="Rounded Rectangle 12">
          <a:extLst>
            <a:ext uri="{FF2B5EF4-FFF2-40B4-BE49-F238E27FC236}">
              <a16:creationId xmlns:a16="http://schemas.microsoft.com/office/drawing/2014/main" id="{00000000-0008-0000-0300-00000D000000}"/>
            </a:ext>
          </a:extLst>
        </xdr:cNvPr>
        <xdr:cNvSpPr/>
      </xdr:nvSpPr>
      <xdr:spPr>
        <a:xfrm>
          <a:off x="7559280" y="6766321"/>
          <a:ext cx="1491694" cy="50601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Change in RCV run-off</a:t>
          </a:r>
        </a:p>
      </xdr:txBody>
    </xdr:sp>
    <xdr:clientData/>
  </xdr:twoCellAnchor>
  <xdr:twoCellAnchor>
    <xdr:from>
      <xdr:col>16</xdr:col>
      <xdr:colOff>904877</xdr:colOff>
      <xdr:row>12</xdr:row>
      <xdr:rowOff>17860</xdr:rowOff>
    </xdr:from>
    <xdr:to>
      <xdr:col>18</xdr:col>
      <xdr:colOff>149860</xdr:colOff>
      <xdr:row>15</xdr:row>
      <xdr:rowOff>23813</xdr:rowOff>
    </xdr:to>
    <xdr:sp macro="" textlink="">
      <xdr:nvSpPr>
        <xdr:cNvPr id="14" name="Rounded Rectangle 13">
          <a:extLst>
            <a:ext uri="{FF2B5EF4-FFF2-40B4-BE49-F238E27FC236}">
              <a16:creationId xmlns:a16="http://schemas.microsoft.com/office/drawing/2014/main" id="{00000000-0008-0000-0300-00000E000000}"/>
            </a:ext>
          </a:extLst>
        </xdr:cNvPr>
        <xdr:cNvSpPr/>
      </xdr:nvSpPr>
      <xdr:spPr>
        <a:xfrm>
          <a:off x="7553327" y="7752160"/>
          <a:ext cx="1473833" cy="491728"/>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Change in return on RCV</a:t>
          </a:r>
        </a:p>
      </xdr:txBody>
    </xdr:sp>
    <xdr:clientData/>
  </xdr:twoCellAnchor>
  <xdr:twoCellAnchor>
    <xdr:from>
      <xdr:col>16</xdr:col>
      <xdr:colOff>898921</xdr:colOff>
      <xdr:row>18</xdr:row>
      <xdr:rowOff>77391</xdr:rowOff>
    </xdr:from>
    <xdr:to>
      <xdr:col>18</xdr:col>
      <xdr:colOff>161765</xdr:colOff>
      <xdr:row>21</xdr:row>
      <xdr:rowOff>83344</xdr:rowOff>
    </xdr:to>
    <xdr:sp macro="" textlink="">
      <xdr:nvSpPr>
        <xdr:cNvPr id="15" name="Rounded Rectangle 14">
          <a:extLst>
            <a:ext uri="{FF2B5EF4-FFF2-40B4-BE49-F238E27FC236}">
              <a16:creationId xmlns:a16="http://schemas.microsoft.com/office/drawing/2014/main" id="{00000000-0008-0000-0300-00000F000000}"/>
            </a:ext>
          </a:extLst>
        </xdr:cNvPr>
        <xdr:cNvSpPr/>
      </xdr:nvSpPr>
      <xdr:spPr>
        <a:xfrm>
          <a:off x="7547371" y="8783241"/>
          <a:ext cx="1491694" cy="491728"/>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Change in PAYG</a:t>
          </a:r>
        </a:p>
      </xdr:txBody>
    </xdr:sp>
    <xdr:clientData/>
  </xdr:twoCellAnchor>
  <xdr:twoCellAnchor>
    <xdr:from>
      <xdr:col>16</xdr:col>
      <xdr:colOff>595312</xdr:colOff>
      <xdr:row>23</xdr:row>
      <xdr:rowOff>17858</xdr:rowOff>
    </xdr:from>
    <xdr:to>
      <xdr:col>19</xdr:col>
      <xdr:colOff>162279</xdr:colOff>
      <xdr:row>28</xdr:row>
      <xdr:rowOff>7055</xdr:rowOff>
    </xdr:to>
    <xdr:sp macro="" textlink="">
      <xdr:nvSpPr>
        <xdr:cNvPr id="16" name="Rounded Rectangle 15">
          <a:hlinkClick xmlns:r="http://schemas.openxmlformats.org/officeDocument/2006/relationships" r:id="rId5"/>
          <a:extLst>
            <a:ext uri="{FF2B5EF4-FFF2-40B4-BE49-F238E27FC236}">
              <a16:creationId xmlns:a16="http://schemas.microsoft.com/office/drawing/2014/main" id="{00000000-0008-0000-0300-000010000000}"/>
            </a:ext>
          </a:extLst>
        </xdr:cNvPr>
        <xdr:cNvSpPr/>
      </xdr:nvSpPr>
      <xdr:spPr>
        <a:xfrm>
          <a:off x="7756701" y="4039525"/>
          <a:ext cx="2092856" cy="800586"/>
        </a:xfrm>
        <a:prstGeom prst="roundRect">
          <a:avLst/>
        </a:prstGeom>
        <a:solidFill>
          <a:schemeClr val="bg1">
            <a:lumMod val="85000"/>
          </a:schemeClr>
        </a:solidFill>
        <a:ln w="317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Other - i.e. tax</a:t>
          </a:r>
          <a:r>
            <a:rPr lang="en-GB" sz="1200" b="1">
              <a:solidFill>
                <a:sysClr val="windowText" lastClr="000000"/>
              </a:solidFill>
              <a:latin typeface="Arial" panose="020B0604020202020204" pitchFamily="34" charset="0"/>
              <a:cs typeface="Arial" panose="020B0604020202020204" pitchFamily="34" charset="0"/>
            </a:rPr>
            <a:t>, </a:t>
          </a:r>
          <a:r>
            <a:rPr lang="en-GB" sz="1200" b="0">
              <a:solidFill>
                <a:sysClr val="windowText" lastClr="000000"/>
              </a:solidFill>
              <a:latin typeface="Arial" panose="020B0604020202020204" pitchFamily="34" charset="0"/>
              <a:cs typeface="Arial" panose="020B0604020202020204" pitchFamily="34" charset="0"/>
            </a:rPr>
            <a:t>revenue smoothing, </a:t>
          </a:r>
          <a:r>
            <a:rPr lang="en-GB" sz="1200">
              <a:solidFill>
                <a:sysClr val="windowText" lastClr="000000"/>
              </a:solidFill>
              <a:latin typeface="Arial" panose="020B0604020202020204" pitchFamily="34" charset="0"/>
              <a:cs typeface="Arial" panose="020B0604020202020204" pitchFamily="34" charset="0"/>
            </a:rPr>
            <a:t>pension deficit repair allowance, </a:t>
          </a:r>
          <a:r>
            <a:rPr lang="en-GB" sz="1200">
              <a:solidFill>
                <a:srgbClr val="0070C0"/>
              </a:solidFill>
              <a:latin typeface="Arial" panose="020B0604020202020204" pitchFamily="34" charset="0"/>
              <a:cs typeface="Arial" panose="020B0604020202020204" pitchFamily="34" charset="0"/>
            </a:rPr>
            <a:t>£m</a:t>
          </a:r>
        </a:p>
      </xdr:txBody>
    </xdr:sp>
    <xdr:clientData/>
  </xdr:twoCellAnchor>
  <xdr:twoCellAnchor>
    <xdr:from>
      <xdr:col>13</xdr:col>
      <xdr:colOff>220687</xdr:colOff>
      <xdr:row>7</xdr:row>
      <xdr:rowOff>96242</xdr:rowOff>
    </xdr:from>
    <xdr:to>
      <xdr:col>16</xdr:col>
      <xdr:colOff>910830</xdr:colOff>
      <xdr:row>9</xdr:row>
      <xdr:rowOff>148700</xdr:rowOff>
    </xdr:to>
    <xdr:cxnSp macro="">
      <xdr:nvCxnSpPr>
        <xdr:cNvPr id="17" name="Elbow Connector 16">
          <a:extLst>
            <a:ext uri="{FF2B5EF4-FFF2-40B4-BE49-F238E27FC236}">
              <a16:creationId xmlns:a16="http://schemas.microsoft.com/office/drawing/2014/main" id="{00000000-0008-0000-0300-000011000000}"/>
            </a:ext>
          </a:extLst>
        </xdr:cNvPr>
        <xdr:cNvCxnSpPr>
          <a:stCxn id="7" idx="3"/>
          <a:endCxn id="13" idx="1"/>
        </xdr:cNvCxnSpPr>
      </xdr:nvCxnSpPr>
      <xdr:spPr>
        <a:xfrm flipV="1">
          <a:off x="6669465" y="1521464"/>
          <a:ext cx="1402754" cy="377014"/>
        </a:xfrm>
        <a:prstGeom prst="bentConnector3">
          <a:avLst>
            <a:gd name="adj1" fmla="val 50000"/>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220687</xdr:colOff>
      <xdr:row>9</xdr:row>
      <xdr:rowOff>148700</xdr:rowOff>
    </xdr:from>
    <xdr:to>
      <xdr:col>16</xdr:col>
      <xdr:colOff>904877</xdr:colOff>
      <xdr:row>13</xdr:row>
      <xdr:rowOff>101975</xdr:rowOff>
    </xdr:to>
    <xdr:cxnSp macro="">
      <xdr:nvCxnSpPr>
        <xdr:cNvPr id="18" name="Elbow Connector 17">
          <a:extLst>
            <a:ext uri="{FF2B5EF4-FFF2-40B4-BE49-F238E27FC236}">
              <a16:creationId xmlns:a16="http://schemas.microsoft.com/office/drawing/2014/main" id="{00000000-0008-0000-0300-000012000000}"/>
            </a:ext>
          </a:extLst>
        </xdr:cNvPr>
        <xdr:cNvCxnSpPr>
          <a:stCxn id="7" idx="3"/>
          <a:endCxn id="14" idx="1"/>
        </xdr:cNvCxnSpPr>
      </xdr:nvCxnSpPr>
      <xdr:spPr>
        <a:xfrm>
          <a:off x="6669465" y="1898478"/>
          <a:ext cx="1396801" cy="602386"/>
        </a:xfrm>
        <a:prstGeom prst="bentConnector3">
          <a:avLst>
            <a:gd name="adj1" fmla="val 50000"/>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220687</xdr:colOff>
      <xdr:row>9</xdr:row>
      <xdr:rowOff>148700</xdr:rowOff>
    </xdr:from>
    <xdr:to>
      <xdr:col>16</xdr:col>
      <xdr:colOff>898921</xdr:colOff>
      <xdr:row>19</xdr:row>
      <xdr:rowOff>161506</xdr:rowOff>
    </xdr:to>
    <xdr:cxnSp macro="">
      <xdr:nvCxnSpPr>
        <xdr:cNvPr id="19" name="Elbow Connector 18">
          <a:extLst>
            <a:ext uri="{FF2B5EF4-FFF2-40B4-BE49-F238E27FC236}">
              <a16:creationId xmlns:a16="http://schemas.microsoft.com/office/drawing/2014/main" id="{00000000-0008-0000-0300-000013000000}"/>
            </a:ext>
          </a:extLst>
        </xdr:cNvPr>
        <xdr:cNvCxnSpPr>
          <a:stCxn id="7" idx="3"/>
          <a:endCxn id="15" idx="1"/>
        </xdr:cNvCxnSpPr>
      </xdr:nvCxnSpPr>
      <xdr:spPr>
        <a:xfrm>
          <a:off x="6669465" y="1898478"/>
          <a:ext cx="1390845" cy="1635584"/>
        </a:xfrm>
        <a:prstGeom prst="bentConnector3">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220687</xdr:colOff>
      <xdr:row>9</xdr:row>
      <xdr:rowOff>148700</xdr:rowOff>
    </xdr:from>
    <xdr:to>
      <xdr:col>16</xdr:col>
      <xdr:colOff>595312</xdr:colOff>
      <xdr:row>25</xdr:row>
      <xdr:rowOff>93596</xdr:rowOff>
    </xdr:to>
    <xdr:cxnSp macro="">
      <xdr:nvCxnSpPr>
        <xdr:cNvPr id="20" name="Elbow Connector 19">
          <a:extLst>
            <a:ext uri="{FF2B5EF4-FFF2-40B4-BE49-F238E27FC236}">
              <a16:creationId xmlns:a16="http://schemas.microsoft.com/office/drawing/2014/main" id="{00000000-0008-0000-0300-000014000000}"/>
            </a:ext>
          </a:extLst>
        </xdr:cNvPr>
        <xdr:cNvCxnSpPr>
          <a:stCxn id="7" idx="3"/>
          <a:endCxn id="16" idx="1"/>
        </xdr:cNvCxnSpPr>
      </xdr:nvCxnSpPr>
      <xdr:spPr>
        <a:xfrm>
          <a:off x="6669465" y="1898478"/>
          <a:ext cx="1087236" cy="2541340"/>
        </a:xfrm>
        <a:prstGeom prst="bentConnector3">
          <a:avLst>
            <a:gd name="adj1" fmla="val 50000"/>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928686</xdr:colOff>
      <xdr:row>5</xdr:row>
      <xdr:rowOff>125015</xdr:rowOff>
    </xdr:from>
    <xdr:to>
      <xdr:col>25</xdr:col>
      <xdr:colOff>428624</xdr:colOff>
      <xdr:row>7</xdr:row>
      <xdr:rowOff>47625</xdr:rowOff>
    </xdr:to>
    <xdr:sp macro="" textlink="">
      <xdr:nvSpPr>
        <xdr:cNvPr id="21" name="Rounded Rectangle 20">
          <a:hlinkClick xmlns:r="http://schemas.openxmlformats.org/officeDocument/2006/relationships" r:id="rId6"/>
          <a:extLst>
            <a:ext uri="{FF2B5EF4-FFF2-40B4-BE49-F238E27FC236}">
              <a16:creationId xmlns:a16="http://schemas.microsoft.com/office/drawing/2014/main" id="{00000000-0008-0000-0300-000015000000}"/>
            </a:ext>
          </a:extLst>
        </xdr:cNvPr>
        <xdr:cNvSpPr/>
      </xdr:nvSpPr>
      <xdr:spPr>
        <a:xfrm>
          <a:off x="10482261" y="6649640"/>
          <a:ext cx="2224088" cy="322660"/>
        </a:xfrm>
        <a:prstGeom prst="roundRect">
          <a:avLst/>
        </a:prstGeom>
        <a:solidFill>
          <a:schemeClr val="bg1">
            <a:lumMod val="85000"/>
          </a:schemeClr>
        </a:solidFill>
        <a:ln w="317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Change in run-off rate, </a:t>
          </a:r>
          <a:r>
            <a:rPr lang="en-GB" sz="1200">
              <a:solidFill>
                <a:srgbClr val="0070C0"/>
              </a:solidFill>
              <a:latin typeface="Arial" panose="020B0604020202020204" pitchFamily="34" charset="0"/>
              <a:cs typeface="Arial" panose="020B0604020202020204" pitchFamily="34" charset="0"/>
            </a:rPr>
            <a:t>£m</a:t>
          </a:r>
        </a:p>
      </xdr:txBody>
    </xdr:sp>
    <xdr:clientData/>
  </xdr:twoCellAnchor>
  <xdr:twoCellAnchor>
    <xdr:from>
      <xdr:col>21</xdr:col>
      <xdr:colOff>892967</xdr:colOff>
      <xdr:row>20</xdr:row>
      <xdr:rowOff>101203</xdr:rowOff>
    </xdr:from>
    <xdr:to>
      <xdr:col>25</xdr:col>
      <xdr:colOff>392342</xdr:colOff>
      <xdr:row>22</xdr:row>
      <xdr:rowOff>71438</xdr:rowOff>
    </xdr:to>
    <xdr:sp macro="" textlink="">
      <xdr:nvSpPr>
        <xdr:cNvPr id="22" name="Rounded Rectangle 21">
          <a:hlinkClick xmlns:r="http://schemas.openxmlformats.org/officeDocument/2006/relationships" r:id="rId7"/>
          <a:extLst>
            <a:ext uri="{FF2B5EF4-FFF2-40B4-BE49-F238E27FC236}">
              <a16:creationId xmlns:a16="http://schemas.microsoft.com/office/drawing/2014/main" id="{00000000-0008-0000-0300-000016000000}"/>
            </a:ext>
          </a:extLst>
        </xdr:cNvPr>
        <xdr:cNvSpPr/>
      </xdr:nvSpPr>
      <xdr:spPr>
        <a:xfrm>
          <a:off x="10446542" y="9130903"/>
          <a:ext cx="2223525" cy="294085"/>
        </a:xfrm>
        <a:prstGeom prst="roundRect">
          <a:avLst/>
        </a:prstGeom>
        <a:solidFill>
          <a:schemeClr val="bg1">
            <a:lumMod val="85000"/>
          </a:schemeClr>
        </a:solidFill>
        <a:ln w="31750">
          <a:solidFill>
            <a:srgbClr val="00B05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Change in totex, </a:t>
          </a:r>
          <a:r>
            <a:rPr lang="en-GB" sz="1200">
              <a:solidFill>
                <a:srgbClr val="0070C0"/>
              </a:solidFill>
              <a:latin typeface="Arial" panose="020B0604020202020204" pitchFamily="34" charset="0"/>
              <a:cs typeface="Arial" panose="020B0604020202020204" pitchFamily="34" charset="0"/>
            </a:rPr>
            <a:t>£m</a:t>
          </a:r>
        </a:p>
      </xdr:txBody>
    </xdr:sp>
    <xdr:clientData/>
  </xdr:twoCellAnchor>
  <xdr:twoCellAnchor>
    <xdr:from>
      <xdr:col>21</xdr:col>
      <xdr:colOff>922733</xdr:colOff>
      <xdr:row>8</xdr:row>
      <xdr:rowOff>17860</xdr:rowOff>
    </xdr:from>
    <xdr:to>
      <xdr:col>25</xdr:col>
      <xdr:colOff>422108</xdr:colOff>
      <xdr:row>9</xdr:row>
      <xdr:rowOff>154782</xdr:rowOff>
    </xdr:to>
    <xdr:sp macro="" textlink="">
      <xdr:nvSpPr>
        <xdr:cNvPr id="23" name="Rounded Rectangle 22">
          <a:hlinkClick xmlns:r="http://schemas.openxmlformats.org/officeDocument/2006/relationships" r:id="rId8"/>
          <a:extLst>
            <a:ext uri="{FF2B5EF4-FFF2-40B4-BE49-F238E27FC236}">
              <a16:creationId xmlns:a16="http://schemas.microsoft.com/office/drawing/2014/main" id="{00000000-0008-0000-0300-000017000000}"/>
            </a:ext>
          </a:extLst>
        </xdr:cNvPr>
        <xdr:cNvSpPr/>
      </xdr:nvSpPr>
      <xdr:spPr>
        <a:xfrm>
          <a:off x="10476308" y="7104460"/>
          <a:ext cx="2223525" cy="298847"/>
        </a:xfrm>
        <a:prstGeom prst="roundRect">
          <a:avLst/>
        </a:prstGeom>
        <a:solidFill>
          <a:schemeClr val="bg1">
            <a:lumMod val="85000"/>
          </a:schemeClr>
        </a:solidFill>
        <a:ln w="317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Change in RCV, </a:t>
          </a:r>
          <a:r>
            <a:rPr lang="en-GB" sz="1200">
              <a:solidFill>
                <a:srgbClr val="0070C0"/>
              </a:solidFill>
              <a:latin typeface="Arial" panose="020B0604020202020204" pitchFamily="34" charset="0"/>
              <a:cs typeface="Arial" panose="020B0604020202020204" pitchFamily="34" charset="0"/>
            </a:rPr>
            <a:t>£m</a:t>
          </a:r>
        </a:p>
      </xdr:txBody>
    </xdr:sp>
    <xdr:clientData/>
  </xdr:twoCellAnchor>
  <xdr:twoCellAnchor>
    <xdr:from>
      <xdr:col>21</xdr:col>
      <xdr:colOff>892968</xdr:colOff>
      <xdr:row>11</xdr:row>
      <xdr:rowOff>77390</xdr:rowOff>
    </xdr:from>
    <xdr:to>
      <xdr:col>25</xdr:col>
      <xdr:colOff>392343</xdr:colOff>
      <xdr:row>13</xdr:row>
      <xdr:rowOff>47625</xdr:rowOff>
    </xdr:to>
    <xdr:sp macro="" textlink="">
      <xdr:nvSpPr>
        <xdr:cNvPr id="24" name="Rounded Rectangle 23">
          <a:hlinkClick xmlns:r="http://schemas.openxmlformats.org/officeDocument/2006/relationships" r:id="rId9"/>
          <a:extLst>
            <a:ext uri="{FF2B5EF4-FFF2-40B4-BE49-F238E27FC236}">
              <a16:creationId xmlns:a16="http://schemas.microsoft.com/office/drawing/2014/main" id="{00000000-0008-0000-0300-000018000000}"/>
            </a:ext>
          </a:extLst>
        </xdr:cNvPr>
        <xdr:cNvSpPr/>
      </xdr:nvSpPr>
      <xdr:spPr>
        <a:xfrm>
          <a:off x="10446543" y="7649765"/>
          <a:ext cx="2223525" cy="294085"/>
        </a:xfrm>
        <a:prstGeom prst="roundRect">
          <a:avLst/>
        </a:prstGeom>
        <a:solidFill>
          <a:schemeClr val="bg1">
            <a:lumMod val="85000"/>
          </a:schemeClr>
        </a:solidFill>
        <a:ln w="317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Change in WACC</a:t>
          </a:r>
          <a:r>
            <a:rPr lang="en-GB" sz="1200">
              <a:solidFill>
                <a:sysClr val="windowText" lastClr="000000"/>
              </a:solidFill>
              <a:effectLst/>
              <a:latin typeface="Arial" panose="020B0604020202020204" pitchFamily="34" charset="0"/>
              <a:ea typeface="+mn-ea"/>
              <a:cs typeface="Arial" panose="020B0604020202020204" pitchFamily="34" charset="0"/>
            </a:rPr>
            <a:t>,</a:t>
          </a:r>
          <a:r>
            <a:rPr lang="en-GB" sz="1200" baseline="0">
              <a:solidFill>
                <a:sysClr val="windowText" lastClr="000000"/>
              </a:solidFill>
              <a:effectLst/>
              <a:latin typeface="Arial" panose="020B0604020202020204" pitchFamily="34" charset="0"/>
              <a:ea typeface="+mn-ea"/>
              <a:cs typeface="Arial" panose="020B0604020202020204" pitchFamily="34" charset="0"/>
            </a:rPr>
            <a:t> </a:t>
          </a:r>
          <a:r>
            <a:rPr lang="en-GB" sz="1200" baseline="0">
              <a:solidFill>
                <a:srgbClr val="0070C0"/>
              </a:solidFill>
              <a:effectLst/>
              <a:latin typeface="Arial" panose="020B0604020202020204" pitchFamily="34" charset="0"/>
              <a:ea typeface="+mn-ea"/>
              <a:cs typeface="Arial" panose="020B0604020202020204" pitchFamily="34" charset="0"/>
            </a:rPr>
            <a:t>£m</a:t>
          </a:r>
          <a:endParaRPr lang="en-GB" sz="1200">
            <a:solidFill>
              <a:srgbClr val="0070C0"/>
            </a:solidFill>
            <a:latin typeface="Arial" panose="020B0604020202020204" pitchFamily="34" charset="0"/>
            <a:cs typeface="Arial" panose="020B0604020202020204" pitchFamily="34" charset="0"/>
          </a:endParaRPr>
        </a:p>
      </xdr:txBody>
    </xdr:sp>
    <xdr:clientData/>
  </xdr:twoCellAnchor>
  <xdr:twoCellAnchor>
    <xdr:from>
      <xdr:col>21</xdr:col>
      <xdr:colOff>898920</xdr:colOff>
      <xdr:row>14</xdr:row>
      <xdr:rowOff>41670</xdr:rowOff>
    </xdr:from>
    <xdr:to>
      <xdr:col>25</xdr:col>
      <xdr:colOff>398295</xdr:colOff>
      <xdr:row>16</xdr:row>
      <xdr:rowOff>11905</xdr:rowOff>
    </xdr:to>
    <xdr:sp macro="" textlink="">
      <xdr:nvSpPr>
        <xdr:cNvPr id="25" name="Rounded Rectangle 24">
          <a:hlinkClick xmlns:r="http://schemas.openxmlformats.org/officeDocument/2006/relationships" r:id="rId10"/>
          <a:extLst>
            <a:ext uri="{FF2B5EF4-FFF2-40B4-BE49-F238E27FC236}">
              <a16:creationId xmlns:a16="http://schemas.microsoft.com/office/drawing/2014/main" id="{00000000-0008-0000-0300-000019000000}"/>
            </a:ext>
          </a:extLst>
        </xdr:cNvPr>
        <xdr:cNvSpPr/>
      </xdr:nvSpPr>
      <xdr:spPr>
        <a:xfrm>
          <a:off x="10452495" y="8099820"/>
          <a:ext cx="2223525" cy="294085"/>
        </a:xfrm>
        <a:prstGeom prst="roundRect">
          <a:avLst/>
        </a:prstGeom>
        <a:solidFill>
          <a:schemeClr val="bg1">
            <a:lumMod val="85000"/>
          </a:schemeClr>
        </a:solidFill>
        <a:ln w="317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Change in RCV, </a:t>
          </a:r>
          <a:r>
            <a:rPr lang="en-GB" sz="1200">
              <a:solidFill>
                <a:srgbClr val="0070C0"/>
              </a:solidFill>
              <a:latin typeface="Arial" panose="020B0604020202020204" pitchFamily="34" charset="0"/>
              <a:cs typeface="Arial" panose="020B0604020202020204" pitchFamily="34" charset="0"/>
            </a:rPr>
            <a:t>£m</a:t>
          </a:r>
        </a:p>
      </xdr:txBody>
    </xdr:sp>
    <xdr:clientData/>
  </xdr:twoCellAnchor>
  <xdr:twoCellAnchor>
    <xdr:from>
      <xdr:col>21</xdr:col>
      <xdr:colOff>892968</xdr:colOff>
      <xdr:row>17</xdr:row>
      <xdr:rowOff>142876</xdr:rowOff>
    </xdr:from>
    <xdr:to>
      <xdr:col>25</xdr:col>
      <xdr:colOff>392343</xdr:colOff>
      <xdr:row>19</xdr:row>
      <xdr:rowOff>113111</xdr:rowOff>
    </xdr:to>
    <xdr:sp macro="" textlink="">
      <xdr:nvSpPr>
        <xdr:cNvPr id="26" name="Rounded Rectangle 25">
          <a:hlinkClick xmlns:r="http://schemas.openxmlformats.org/officeDocument/2006/relationships" r:id="rId11"/>
          <a:extLst>
            <a:ext uri="{FF2B5EF4-FFF2-40B4-BE49-F238E27FC236}">
              <a16:creationId xmlns:a16="http://schemas.microsoft.com/office/drawing/2014/main" id="{00000000-0008-0000-0300-00001A000000}"/>
            </a:ext>
          </a:extLst>
        </xdr:cNvPr>
        <xdr:cNvSpPr/>
      </xdr:nvSpPr>
      <xdr:spPr>
        <a:xfrm>
          <a:off x="10446543" y="8686801"/>
          <a:ext cx="2223525" cy="294085"/>
        </a:xfrm>
        <a:prstGeom prst="roundRect">
          <a:avLst/>
        </a:prstGeom>
        <a:solidFill>
          <a:schemeClr val="bg1">
            <a:lumMod val="85000"/>
          </a:schemeClr>
        </a:solidFill>
        <a:ln w="317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Change in PAYG rate, </a:t>
          </a:r>
          <a:r>
            <a:rPr lang="en-GB" sz="1200">
              <a:solidFill>
                <a:srgbClr val="0070C0"/>
              </a:solidFill>
              <a:latin typeface="Arial" panose="020B0604020202020204" pitchFamily="34" charset="0"/>
              <a:cs typeface="Arial" panose="020B0604020202020204" pitchFamily="34" charset="0"/>
            </a:rPr>
            <a:t>£m</a:t>
          </a:r>
        </a:p>
      </xdr:txBody>
    </xdr:sp>
    <xdr:clientData/>
  </xdr:twoCellAnchor>
  <xdr:twoCellAnchor>
    <xdr:from>
      <xdr:col>18</xdr:col>
      <xdr:colOff>173674</xdr:colOff>
      <xdr:row>6</xdr:row>
      <xdr:rowOff>86320</xdr:rowOff>
    </xdr:from>
    <xdr:to>
      <xdr:col>21</xdr:col>
      <xdr:colOff>928686</xdr:colOff>
      <xdr:row>7</xdr:row>
      <xdr:rowOff>98226</xdr:rowOff>
    </xdr:to>
    <xdr:cxnSp macro="">
      <xdr:nvCxnSpPr>
        <xdr:cNvPr id="27" name="Elbow Connector 26">
          <a:extLst>
            <a:ext uri="{FF2B5EF4-FFF2-40B4-BE49-F238E27FC236}">
              <a16:creationId xmlns:a16="http://schemas.microsoft.com/office/drawing/2014/main" id="{00000000-0008-0000-0300-00001B000000}"/>
            </a:ext>
          </a:extLst>
        </xdr:cNvPr>
        <xdr:cNvCxnSpPr>
          <a:stCxn id="13" idx="3"/>
          <a:endCxn id="21" idx="1"/>
        </xdr:cNvCxnSpPr>
      </xdr:nvCxnSpPr>
      <xdr:spPr>
        <a:xfrm flipV="1">
          <a:off x="9050974" y="6810970"/>
          <a:ext cx="1431287" cy="211931"/>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173674</xdr:colOff>
      <xdr:row>7</xdr:row>
      <xdr:rowOff>98226</xdr:rowOff>
    </xdr:from>
    <xdr:to>
      <xdr:col>21</xdr:col>
      <xdr:colOff>922733</xdr:colOff>
      <xdr:row>9</xdr:row>
      <xdr:rowOff>2978</xdr:rowOff>
    </xdr:to>
    <xdr:cxnSp macro="">
      <xdr:nvCxnSpPr>
        <xdr:cNvPr id="28" name="Elbow Connector 27">
          <a:extLst>
            <a:ext uri="{FF2B5EF4-FFF2-40B4-BE49-F238E27FC236}">
              <a16:creationId xmlns:a16="http://schemas.microsoft.com/office/drawing/2014/main" id="{00000000-0008-0000-0300-00001C000000}"/>
            </a:ext>
          </a:extLst>
        </xdr:cNvPr>
        <xdr:cNvCxnSpPr>
          <a:stCxn id="13" idx="3"/>
          <a:endCxn id="23" idx="1"/>
        </xdr:cNvCxnSpPr>
      </xdr:nvCxnSpPr>
      <xdr:spPr>
        <a:xfrm>
          <a:off x="9050974" y="7022901"/>
          <a:ext cx="1425334" cy="228602"/>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149860</xdr:colOff>
      <xdr:row>12</xdr:row>
      <xdr:rowOff>62507</xdr:rowOff>
    </xdr:from>
    <xdr:to>
      <xdr:col>21</xdr:col>
      <xdr:colOff>892968</xdr:colOff>
      <xdr:row>13</xdr:row>
      <xdr:rowOff>104181</xdr:rowOff>
    </xdr:to>
    <xdr:cxnSp macro="">
      <xdr:nvCxnSpPr>
        <xdr:cNvPr id="29" name="Elbow Connector 28">
          <a:extLst>
            <a:ext uri="{FF2B5EF4-FFF2-40B4-BE49-F238E27FC236}">
              <a16:creationId xmlns:a16="http://schemas.microsoft.com/office/drawing/2014/main" id="{00000000-0008-0000-0300-00001D000000}"/>
            </a:ext>
          </a:extLst>
        </xdr:cNvPr>
        <xdr:cNvCxnSpPr>
          <a:stCxn id="14" idx="3"/>
          <a:endCxn id="24" idx="1"/>
        </xdr:cNvCxnSpPr>
      </xdr:nvCxnSpPr>
      <xdr:spPr>
        <a:xfrm flipV="1">
          <a:off x="9027160" y="7796807"/>
          <a:ext cx="1419383" cy="203599"/>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149860</xdr:colOff>
      <xdr:row>13</xdr:row>
      <xdr:rowOff>104181</xdr:rowOff>
    </xdr:from>
    <xdr:to>
      <xdr:col>21</xdr:col>
      <xdr:colOff>898920</xdr:colOff>
      <xdr:row>15</xdr:row>
      <xdr:rowOff>26788</xdr:rowOff>
    </xdr:to>
    <xdr:cxnSp macro="">
      <xdr:nvCxnSpPr>
        <xdr:cNvPr id="30" name="Elbow Connector 29">
          <a:extLst>
            <a:ext uri="{FF2B5EF4-FFF2-40B4-BE49-F238E27FC236}">
              <a16:creationId xmlns:a16="http://schemas.microsoft.com/office/drawing/2014/main" id="{00000000-0008-0000-0300-00001E000000}"/>
            </a:ext>
          </a:extLst>
        </xdr:cNvPr>
        <xdr:cNvCxnSpPr>
          <a:stCxn id="14" idx="3"/>
          <a:endCxn id="25" idx="1"/>
        </xdr:cNvCxnSpPr>
      </xdr:nvCxnSpPr>
      <xdr:spPr>
        <a:xfrm>
          <a:off x="9027160" y="8000406"/>
          <a:ext cx="1425335" cy="246457"/>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161765</xdr:colOff>
      <xdr:row>18</xdr:row>
      <xdr:rowOff>127993</xdr:rowOff>
    </xdr:from>
    <xdr:to>
      <xdr:col>21</xdr:col>
      <xdr:colOff>892968</xdr:colOff>
      <xdr:row>19</xdr:row>
      <xdr:rowOff>163712</xdr:rowOff>
    </xdr:to>
    <xdr:cxnSp macro="">
      <xdr:nvCxnSpPr>
        <xdr:cNvPr id="31" name="Elbow Connector 30">
          <a:extLst>
            <a:ext uri="{FF2B5EF4-FFF2-40B4-BE49-F238E27FC236}">
              <a16:creationId xmlns:a16="http://schemas.microsoft.com/office/drawing/2014/main" id="{00000000-0008-0000-0300-00001F000000}"/>
            </a:ext>
          </a:extLst>
        </xdr:cNvPr>
        <xdr:cNvCxnSpPr>
          <a:stCxn id="15" idx="3"/>
          <a:endCxn id="26" idx="1"/>
        </xdr:cNvCxnSpPr>
      </xdr:nvCxnSpPr>
      <xdr:spPr>
        <a:xfrm flipV="1">
          <a:off x="9039065" y="8833843"/>
          <a:ext cx="1407478" cy="197644"/>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161765</xdr:colOff>
      <xdr:row>19</xdr:row>
      <xdr:rowOff>163712</xdr:rowOff>
    </xdr:from>
    <xdr:to>
      <xdr:col>21</xdr:col>
      <xdr:colOff>892967</xdr:colOff>
      <xdr:row>21</xdr:row>
      <xdr:rowOff>86321</xdr:rowOff>
    </xdr:to>
    <xdr:cxnSp macro="">
      <xdr:nvCxnSpPr>
        <xdr:cNvPr id="32" name="Elbow Connector 31">
          <a:extLst>
            <a:ext uri="{FF2B5EF4-FFF2-40B4-BE49-F238E27FC236}">
              <a16:creationId xmlns:a16="http://schemas.microsoft.com/office/drawing/2014/main" id="{00000000-0008-0000-0300-000020000000}"/>
            </a:ext>
          </a:extLst>
        </xdr:cNvPr>
        <xdr:cNvCxnSpPr>
          <a:stCxn id="15" idx="3"/>
          <a:endCxn id="22" idx="1"/>
        </xdr:cNvCxnSpPr>
      </xdr:nvCxnSpPr>
      <xdr:spPr>
        <a:xfrm>
          <a:off x="9039065" y="9031487"/>
          <a:ext cx="1407477" cy="246459"/>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874257</xdr:colOff>
      <xdr:row>34</xdr:row>
      <xdr:rowOff>93548</xdr:rowOff>
    </xdr:from>
    <xdr:to>
      <xdr:col>13</xdr:col>
      <xdr:colOff>267788</xdr:colOff>
      <xdr:row>38</xdr:row>
      <xdr:rowOff>47123</xdr:rowOff>
    </xdr:to>
    <xdr:sp macro="" textlink="">
      <xdr:nvSpPr>
        <xdr:cNvPr id="33" name="Rounded Rectangle 32">
          <a:hlinkClick xmlns:r="http://schemas.openxmlformats.org/officeDocument/2006/relationships" r:id="rId12"/>
          <a:extLst>
            <a:ext uri="{FF2B5EF4-FFF2-40B4-BE49-F238E27FC236}">
              <a16:creationId xmlns:a16="http://schemas.microsoft.com/office/drawing/2014/main" id="{00000000-0008-0000-0300-000021000000}"/>
            </a:ext>
          </a:extLst>
        </xdr:cNvPr>
        <xdr:cNvSpPr/>
      </xdr:nvSpPr>
      <xdr:spPr>
        <a:xfrm>
          <a:off x="4767601" y="6130017"/>
          <a:ext cx="1620000" cy="763200"/>
        </a:xfrm>
        <a:prstGeom prst="round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Retail reconciliation items, </a:t>
          </a:r>
          <a:r>
            <a:rPr lang="en-GB" sz="1200">
              <a:solidFill>
                <a:srgbClr val="0070C0"/>
              </a:solidFill>
              <a:latin typeface="Arial" panose="020B0604020202020204" pitchFamily="34" charset="0"/>
              <a:cs typeface="Arial" panose="020B0604020202020204" pitchFamily="34" charset="0"/>
            </a:rPr>
            <a:t>£/customer</a:t>
          </a:r>
        </a:p>
      </xdr:txBody>
    </xdr:sp>
    <xdr:clientData/>
  </xdr:twoCellAnchor>
  <xdr:twoCellAnchor>
    <xdr:from>
      <xdr:col>16</xdr:col>
      <xdr:colOff>617579</xdr:colOff>
      <xdr:row>29</xdr:row>
      <xdr:rowOff>73202</xdr:rowOff>
    </xdr:from>
    <xdr:to>
      <xdr:col>19</xdr:col>
      <xdr:colOff>183290</xdr:colOff>
      <xdr:row>32</xdr:row>
      <xdr:rowOff>132731</xdr:rowOff>
    </xdr:to>
    <xdr:sp macro="" textlink="">
      <xdr:nvSpPr>
        <xdr:cNvPr id="35" name="Rounded Rectangle 34">
          <a:hlinkClick xmlns:r="http://schemas.openxmlformats.org/officeDocument/2006/relationships" r:id="rId13"/>
          <a:extLst>
            <a:ext uri="{FF2B5EF4-FFF2-40B4-BE49-F238E27FC236}">
              <a16:creationId xmlns:a16="http://schemas.microsoft.com/office/drawing/2014/main" id="{00000000-0008-0000-0300-000023000000}"/>
            </a:ext>
          </a:extLst>
        </xdr:cNvPr>
        <xdr:cNvSpPr/>
      </xdr:nvSpPr>
      <xdr:spPr>
        <a:xfrm>
          <a:off x="7778968" y="5068535"/>
          <a:ext cx="2091600" cy="546363"/>
        </a:xfrm>
        <a:prstGeom prst="roundRect">
          <a:avLst/>
        </a:prstGeom>
        <a:solidFill>
          <a:schemeClr val="bg1">
            <a:lumMod val="85000"/>
          </a:schemeClr>
        </a:solidFill>
        <a:ln w="317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Wholesale reconciliation items, </a:t>
          </a:r>
          <a:r>
            <a:rPr lang="en-GB" sz="1200">
              <a:solidFill>
                <a:srgbClr val="0070C0"/>
              </a:solidFill>
              <a:latin typeface="Arial" panose="020B0604020202020204" pitchFamily="34" charset="0"/>
              <a:cs typeface="Arial" panose="020B0604020202020204" pitchFamily="34" charset="0"/>
            </a:rPr>
            <a:t>£m</a:t>
          </a:r>
          <a:r>
            <a:rPr lang="en-GB" sz="120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13</xdr:col>
      <xdr:colOff>220687</xdr:colOff>
      <xdr:row>9</xdr:row>
      <xdr:rowOff>148700</xdr:rowOff>
    </xdr:from>
    <xdr:to>
      <xdr:col>16</xdr:col>
      <xdr:colOff>617579</xdr:colOff>
      <xdr:row>31</xdr:row>
      <xdr:rowOff>21828</xdr:rowOff>
    </xdr:to>
    <xdr:cxnSp macro="">
      <xdr:nvCxnSpPr>
        <xdr:cNvPr id="36" name="Elbow Connector 35">
          <a:extLst>
            <a:ext uri="{FF2B5EF4-FFF2-40B4-BE49-F238E27FC236}">
              <a16:creationId xmlns:a16="http://schemas.microsoft.com/office/drawing/2014/main" id="{00000000-0008-0000-0300-000024000000}"/>
            </a:ext>
          </a:extLst>
        </xdr:cNvPr>
        <xdr:cNvCxnSpPr>
          <a:stCxn id="7" idx="3"/>
          <a:endCxn id="35" idx="1"/>
        </xdr:cNvCxnSpPr>
      </xdr:nvCxnSpPr>
      <xdr:spPr>
        <a:xfrm>
          <a:off x="6669465" y="1898478"/>
          <a:ext cx="1109503" cy="3443239"/>
        </a:xfrm>
        <a:prstGeom prst="bentConnector3">
          <a:avLst>
            <a:gd name="adj1" fmla="val 50000"/>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874889</xdr:colOff>
      <xdr:row>20</xdr:row>
      <xdr:rowOff>28222</xdr:rowOff>
    </xdr:from>
    <xdr:to>
      <xdr:col>13</xdr:col>
      <xdr:colOff>253100</xdr:colOff>
      <xdr:row>24</xdr:row>
      <xdr:rowOff>91911</xdr:rowOff>
    </xdr:to>
    <xdr:sp macro="" textlink="">
      <xdr:nvSpPr>
        <xdr:cNvPr id="38" name="Rounded Rectangle 37">
          <a:hlinkClick xmlns:r="http://schemas.openxmlformats.org/officeDocument/2006/relationships" r:id="rId14"/>
          <a:extLst>
            <a:ext uri="{FF2B5EF4-FFF2-40B4-BE49-F238E27FC236}">
              <a16:creationId xmlns:a16="http://schemas.microsoft.com/office/drawing/2014/main" id="{00000000-0008-0000-0300-000026000000}"/>
            </a:ext>
          </a:extLst>
        </xdr:cNvPr>
        <xdr:cNvSpPr/>
      </xdr:nvSpPr>
      <xdr:spPr>
        <a:xfrm>
          <a:off x="4988278" y="3563055"/>
          <a:ext cx="1713600" cy="712800"/>
        </a:xfrm>
        <a:prstGeom prst="roundRect">
          <a:avLst/>
        </a:prstGeom>
        <a:solidFill>
          <a:schemeClr val="accent1">
            <a:lumMod val="40000"/>
            <a:lumOff val="60000"/>
          </a:schemeClr>
        </a:solidFill>
        <a:ln w="317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1200">
              <a:solidFill>
                <a:sysClr val="windowText" lastClr="000000"/>
              </a:solidFill>
              <a:latin typeface="Arial" panose="020B0604020202020204" pitchFamily="34" charset="0"/>
              <a:cs typeface="Arial" panose="020B0604020202020204" pitchFamily="34" charset="0"/>
            </a:rPr>
            <a:t>5th control, </a:t>
          </a:r>
          <a:r>
            <a:rPr lang="en-GB" sz="1200">
              <a:solidFill>
                <a:srgbClr val="0070C0"/>
              </a:solidFill>
              <a:latin typeface="Arial" panose="020B0604020202020204" pitchFamily="34" charset="0"/>
              <a:cs typeface="Arial" panose="020B0604020202020204" pitchFamily="34" charset="0"/>
            </a:rPr>
            <a:t>£/customer</a:t>
          </a:r>
          <a:endParaRPr lang="en-GB" sz="12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11</xdr:col>
      <xdr:colOff>444503</xdr:colOff>
      <xdr:row>27</xdr:row>
      <xdr:rowOff>21169</xdr:rowOff>
    </xdr:from>
    <xdr:to>
      <xdr:col>11</xdr:col>
      <xdr:colOff>874257</xdr:colOff>
      <xdr:row>36</xdr:row>
      <xdr:rowOff>87974</xdr:rowOff>
    </xdr:to>
    <xdr:cxnSp macro="">
      <xdr:nvCxnSpPr>
        <xdr:cNvPr id="41" name="Elbow Connector 40">
          <a:extLst>
            <a:ext uri="{FF2B5EF4-FFF2-40B4-BE49-F238E27FC236}">
              <a16:creationId xmlns:a16="http://schemas.microsoft.com/office/drawing/2014/main" id="{00000000-0008-0000-0300-000029000000}"/>
            </a:ext>
          </a:extLst>
        </xdr:cNvPr>
        <xdr:cNvCxnSpPr>
          <a:endCxn id="33" idx="1"/>
        </xdr:cNvCxnSpPr>
      </xdr:nvCxnSpPr>
      <xdr:spPr>
        <a:xfrm rot="16200000" flipH="1">
          <a:off x="3984422" y="5265417"/>
          <a:ext cx="1576694" cy="429754"/>
        </a:xfrm>
        <a:prstGeom prst="bentConnector2">
          <a:avLst/>
        </a:prstGeom>
        <a:ln w="317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95248</xdr:colOff>
      <xdr:row>11</xdr:row>
      <xdr:rowOff>125788</xdr:rowOff>
    </xdr:from>
    <xdr:to>
      <xdr:col>11</xdr:col>
      <xdr:colOff>874889</xdr:colOff>
      <xdr:row>22</xdr:row>
      <xdr:rowOff>60066</xdr:rowOff>
    </xdr:to>
    <xdr:cxnSp macro="">
      <xdr:nvCxnSpPr>
        <xdr:cNvPr id="51" name="Elbow Connector 50">
          <a:extLst>
            <a:ext uri="{FF2B5EF4-FFF2-40B4-BE49-F238E27FC236}">
              <a16:creationId xmlns:a16="http://schemas.microsoft.com/office/drawing/2014/main" id="{00000000-0008-0000-0300-000033000000}"/>
            </a:ext>
          </a:extLst>
        </xdr:cNvPr>
        <xdr:cNvCxnSpPr>
          <a:stCxn id="3" idx="3"/>
          <a:endCxn id="38" idx="1"/>
        </xdr:cNvCxnSpPr>
      </xdr:nvCxnSpPr>
      <xdr:spPr>
        <a:xfrm>
          <a:off x="4208637" y="2200121"/>
          <a:ext cx="779641" cy="1719334"/>
        </a:xfrm>
        <a:prstGeom prst="bentConnector3">
          <a:avLst>
            <a:gd name="adj1" fmla="val 48190"/>
          </a:avLst>
        </a:prstGeom>
        <a:ln w="3175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absoluteAnchor>
    <xdr:pos x="0" y="0"/>
    <xdr:ext cx="9297798" cy="6082018"/>
    <xdr:graphicFrame macro="">
      <xdr:nvGraphicFramePr>
        <xdr:cNvPr id="2" name="Chart 1">
          <a:extLst>
            <a:ext uri="{FF2B5EF4-FFF2-40B4-BE49-F238E27FC236}">
              <a16:creationId xmlns:a16="http://schemas.microsoft.com/office/drawing/2014/main" id="{00000000-0008-0000-1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0.00702</cdr:x>
      <cdr:y>0.93139</cdr:y>
    </cdr:from>
    <cdr:to>
      <cdr:x>0.84277</cdr:x>
      <cdr:y>0.98741</cdr:y>
    </cdr:to>
    <cdr:sp macro="" textlink="">
      <cdr:nvSpPr>
        <cdr:cNvPr id="2" name="TextBox 1"/>
        <cdr:cNvSpPr txBox="1"/>
      </cdr:nvSpPr>
      <cdr:spPr>
        <a:xfrm xmlns:a="http://schemas.openxmlformats.org/drawingml/2006/main">
          <a:off x="65123" y="5629728"/>
          <a:ext cx="7757052" cy="338624"/>
        </a:xfrm>
        <a:prstGeom xmlns:a="http://schemas.openxmlformats.org/drawingml/2006/main" prst="rect">
          <a:avLst/>
        </a:prstGeom>
        <a:ln xmlns:a="http://schemas.openxmlformats.org/drawingml/2006/main">
          <a:solidFill>
            <a:schemeClr val="tx1"/>
          </a:solidFill>
          <a:prstDash val="solid"/>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a:latin typeface="Arial" panose="020B0604020202020204" pitchFamily="34" charset="0"/>
              <a:cs typeface="Arial" panose="020B0604020202020204" pitchFamily="34" charset="0"/>
            </a:rPr>
            <a:t>* </a:t>
          </a:r>
          <a:r>
            <a:rPr lang="en-GB" sz="600">
              <a:latin typeface="Arial" panose="020B0604020202020204" pitchFamily="34" charset="0"/>
              <a:cs typeface="Arial" panose="020B0604020202020204" pitchFamily="34" charset="0"/>
            </a:rPr>
            <a:t>Ofwat calculates the return on RCV using a real WACC. Ofwat used a WACC expressed in real RPI terms for PR14 returns, while it is using a WACC expressed in real CPIH terms for PR19 calculations. The use of the real CPIH terms WACC reduces the fall in bills at PR19 from lowering the nominal WACC. This is because the real CPIH terms WACC is around one percent higher than the WACC expressed in real RPI terms.</a:t>
          </a:r>
        </a:p>
      </cdr:txBody>
    </cdr:sp>
  </cdr:relSizeAnchor>
</c:userShapes>
</file>

<file path=xl/drawings/drawing7.xml><?xml version="1.0" encoding="utf-8"?>
<xdr:wsDr xmlns:xdr="http://schemas.openxmlformats.org/drawingml/2006/spreadsheetDrawing" xmlns:a="http://schemas.openxmlformats.org/drawingml/2006/main">
  <xdr:twoCellAnchor editAs="absolute">
    <xdr:from>
      <xdr:col>4</xdr:col>
      <xdr:colOff>696493</xdr:colOff>
      <xdr:row>1</xdr:row>
      <xdr:rowOff>11910</xdr:rowOff>
    </xdr:from>
    <xdr:to>
      <xdr:col>4</xdr:col>
      <xdr:colOff>3216493</xdr:colOff>
      <xdr:row>3</xdr:row>
      <xdr:rowOff>53458</xdr:rowOff>
    </xdr:to>
    <xdr:sp macro="[0]!CAPTURE_TRACK" textlink="">
      <xdr:nvSpPr>
        <xdr:cNvPr id="2" name="buttonStoreResults">
          <a:extLst>
            <a:ext uri="{FF2B5EF4-FFF2-40B4-BE49-F238E27FC236}">
              <a16:creationId xmlns:a16="http://schemas.microsoft.com/office/drawing/2014/main" id="{00000000-0008-0000-1300-000002000000}"/>
            </a:ext>
          </a:extLst>
        </xdr:cNvPr>
        <xdr:cNvSpPr>
          <a:spLocks noChangeArrowheads="1"/>
        </xdr:cNvSpPr>
      </xdr:nvSpPr>
      <xdr:spPr bwMode="auto">
        <a:xfrm>
          <a:off x="1538265" y="330998"/>
          <a:ext cx="2520000" cy="374923"/>
        </a:xfrm>
        <a:prstGeom prst="roundRect">
          <a:avLst>
            <a:gd name="adj" fmla="val 16667"/>
          </a:avLst>
        </a:prstGeom>
        <a:solidFill>
          <a:srgbClr val="0078C9"/>
        </a:solidFill>
        <a:ln w="19050" algn="ctr">
          <a:noFill/>
          <a:round/>
          <a:headEnd/>
          <a:tailEnd/>
        </a:ln>
        <a:scene3d>
          <a:camera prst="orthographicFront"/>
          <a:lightRig rig="threePt" dir="t"/>
        </a:scene3d>
        <a:sp3d>
          <a:bevelT/>
        </a:sp3d>
      </xdr:spPr>
      <xdr:txBody>
        <a:bodyPr vertOverflow="clip" wrap="square" lIns="27432" tIns="22860" rIns="27432" bIns="22860" anchor="ctr" upright="1"/>
        <a:lstStyle/>
        <a:p>
          <a:pPr algn="ctr" rtl="0">
            <a:defRPr sz="1000"/>
          </a:pPr>
          <a:r>
            <a:rPr lang="en-US" sz="1000" b="0" i="0" u="none" strike="noStrike" baseline="0">
              <a:solidFill>
                <a:schemeClr val="bg1"/>
              </a:solidFill>
              <a:latin typeface="Franklin Gothic Demi" panose="020B0703020102020204" pitchFamily="34" charset="0"/>
              <a:cs typeface="Arial" panose="020B0604020202020204" pitchFamily="34" charset="0"/>
            </a:rPr>
            <a:t>STORE TRACK</a:t>
          </a:r>
          <a:endParaRPr lang="en-US" b="0">
            <a:solidFill>
              <a:schemeClr val="bg1"/>
            </a:solidFill>
            <a:latin typeface="Franklin Gothic Demi" panose="020B07030201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Dewey/Downloads/pap_tec201412pr14finmodel_tmsttip.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HARED_FIN04/Regulation%20Managers/Regulation%20Team/FINANCE%20-%20Strategy%20&amp;%20Regulation/Financial%20modelling/Model%20update%20from%20Sep-18/Ofwat%20model/PR19-17z%20TMS%201.7.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Dewey/Downloads/Sep-18%20data/pap_tec201412pr14finmodel_tmsttip.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Cover"/>
      <sheetName val="Version Control"/>
      <sheetName val="Adjustments log"/>
      <sheetName val="Map"/>
      <sheetName val="Key"/>
      <sheetName val="Dashboard"/>
      <sheetName val="Data &gt;"/>
      <sheetName val="F_Inputs"/>
      <sheetName val="F_Inputs Copy"/>
      <sheetName val="Input Copy"/>
      <sheetName val="Adjustments"/>
      <sheetName val="Input Real"/>
      <sheetName val="Input Nominal"/>
      <sheetName val="RPI"/>
      <sheetName val="Wholesale &gt;"/>
      <sheetName val="Water Nominal"/>
      <sheetName val="Wastewater Nominal"/>
      <sheetName val="Wholesale Nominal"/>
      <sheetName val="Water Real AR"/>
      <sheetName val="Waste Real AR"/>
      <sheetName val="Retail &gt;"/>
      <sheetName val="Calc HH"/>
      <sheetName val="Calc NHH"/>
      <sheetName val="HH Fin Stats"/>
      <sheetName val="NHH Fin Stats"/>
      <sheetName val="Retail Fin Stats"/>
      <sheetName val="Retail Phase Outputs"/>
      <sheetName val="Appointee &gt;"/>
      <sheetName val="Report Formats"/>
      <sheetName val="Appointee Nominal"/>
      <sheetName val="Reports Start"/>
      <sheetName val="Exec Summary"/>
      <sheetName val="Price Limits HH"/>
      <sheetName val="Price Limits NHH"/>
      <sheetName val="Headroom Check"/>
      <sheetName val="Appointee Fin Stats"/>
      <sheetName val="Tax Reconciliation"/>
      <sheetName val="F_Outputs"/>
      <sheetName val="Error Checks"/>
      <sheetName val="RPO Checks"/>
      <sheetName val="Index linked debt macro"/>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0">
          <cell r="E10" t="str">
            <v>Company Name</v>
          </cell>
          <cell r="I10" t="str">
            <v>TMS</v>
          </cell>
        </row>
        <row r="11">
          <cell r="E11" t="str">
            <v>Company Type</v>
          </cell>
          <cell r="I11" t="str">
            <v>WaSC</v>
          </cell>
        </row>
        <row r="30">
          <cell r="E30" t="str">
            <v>Wholesale Water - household apportionment calculated</v>
          </cell>
          <cell r="N30">
            <v>0.78588684040803036</v>
          </cell>
        </row>
        <row r="31">
          <cell r="E31" t="str">
            <v>Wholesale Wastewater - household apportionment calculated</v>
          </cell>
          <cell r="N31">
            <v>0.82002954478207513</v>
          </cell>
        </row>
        <row r="171">
          <cell r="E171" t="str">
            <v>RCV Additions: Average Asset Life (to 1dp)</v>
          </cell>
          <cell r="H171">
            <v>20.182673768262308</v>
          </cell>
        </row>
        <row r="176">
          <cell r="E176" t="str">
            <v>RCV Additions: Average Asset Life (to 1dp)</v>
          </cell>
          <cell r="H176">
            <v>29.597033520655987</v>
          </cell>
        </row>
        <row r="807">
          <cell r="E807" t="str">
            <v xml:space="preserve">Water: Number of unmeasured households </v>
          </cell>
          <cell r="N807">
            <v>32.143000000000001</v>
          </cell>
        </row>
        <row r="808">
          <cell r="E808" t="str">
            <v xml:space="preserve">Water: Number of measured households </v>
          </cell>
          <cell r="N808">
            <v>15.452</v>
          </cell>
        </row>
        <row r="809">
          <cell r="E809" t="str">
            <v xml:space="preserve">Wastewater: Number of unmeasured households </v>
          </cell>
          <cell r="N809">
            <v>637.14400000000001</v>
          </cell>
        </row>
        <row r="810">
          <cell r="E810" t="str">
            <v xml:space="preserve">Wastewater: Number of measured households with standing charge </v>
          </cell>
          <cell r="N810">
            <v>1342.6849999999999</v>
          </cell>
        </row>
        <row r="811">
          <cell r="E811" t="str">
            <v>Households connected for water and wastewater - unmetered</v>
          </cell>
          <cell r="N811">
            <v>1693.788</v>
          </cell>
        </row>
        <row r="812">
          <cell r="E812" t="str">
            <v>Households connected for water and wastewater - metered</v>
          </cell>
          <cell r="N812">
            <v>1863.7349999999999</v>
          </cell>
        </row>
      </sheetData>
      <sheetData sheetId="13"/>
      <sheetData sheetId="14"/>
      <sheetData sheetId="15"/>
      <sheetData sheetId="16"/>
      <sheetData sheetId="17"/>
      <sheetData sheetId="18">
        <row r="82">
          <cell r="E82" t="str">
            <v>RCV as at 2015</v>
          </cell>
          <cell r="N82">
            <v>4064.2755163313873</v>
          </cell>
        </row>
        <row r="83">
          <cell r="E83" t="str">
            <v>Depreciation of 2015 RCV</v>
          </cell>
          <cell r="N83">
            <v>-114.78621536638822</v>
          </cell>
        </row>
        <row r="87">
          <cell r="E87" t="str">
            <v>Totex</v>
          </cell>
          <cell r="N87">
            <v>657.01025522329905</v>
          </cell>
        </row>
        <row r="88">
          <cell r="E88" t="str">
            <v>PAYG Totex</v>
          </cell>
          <cell r="N88">
            <v>405.13882047593307</v>
          </cell>
        </row>
        <row r="89">
          <cell r="E89" t="str">
            <v>Non-PAYG Totex</v>
          </cell>
          <cell r="N89">
            <v>251.87143474736598</v>
          </cell>
        </row>
        <row r="93">
          <cell r="E93" t="str">
            <v>Non-PAYG Totex</v>
          </cell>
          <cell r="J93">
            <v>285.82552111367039</v>
          </cell>
          <cell r="K93">
            <v>301.77329073849882</v>
          </cell>
          <cell r="L93">
            <v>286.86882818910965</v>
          </cell>
          <cell r="M93">
            <v>272.17643502235768</v>
          </cell>
        </row>
        <row r="107">
          <cell r="E107" t="str">
            <v>Average 2015 RCV</v>
          </cell>
          <cell r="N107">
            <v>4006.8824086481932</v>
          </cell>
        </row>
        <row r="108">
          <cell r="E108" t="str">
            <v>Average RCV; post 2015 additions</v>
          </cell>
          <cell r="N108">
            <v>1126.0430183351523</v>
          </cell>
        </row>
        <row r="112">
          <cell r="E112" t="str">
            <v>Return on 2015 RCV Bf</v>
          </cell>
          <cell r="N112">
            <v>144.24776671133495</v>
          </cell>
        </row>
        <row r="113">
          <cell r="E113" t="str">
            <v>Return on RCV Additions</v>
          </cell>
          <cell r="N113">
            <v>40.537548660065482</v>
          </cell>
        </row>
        <row r="231">
          <cell r="E231" t="str">
            <v>Pension deficit repair allowance</v>
          </cell>
          <cell r="N231">
            <v>9.0660000000000007</v>
          </cell>
        </row>
        <row r="235">
          <cell r="E235" t="str">
            <v>Other income (incl 3rd party income)</v>
          </cell>
          <cell r="N235">
            <v>-5.5379760053999121</v>
          </cell>
        </row>
        <row r="256">
          <cell r="E256" t="str">
            <v>SIM adjustment (+ or -)</v>
          </cell>
          <cell r="N256">
            <v>-8.1810890189019307</v>
          </cell>
        </row>
        <row r="257">
          <cell r="E257" t="str">
            <v>Opex incentive allowance (+ only)</v>
          </cell>
          <cell r="N257">
            <v>0</v>
          </cell>
        </row>
        <row r="258">
          <cell r="E258" t="str">
            <v>CIS adjustment (+ or -)</v>
          </cell>
          <cell r="N258">
            <v>-3.2288801091953001</v>
          </cell>
        </row>
        <row r="259">
          <cell r="E259" t="str">
            <v>RCM adjustment (+ or -)</v>
          </cell>
          <cell r="N259">
            <v>8.1536207528333104</v>
          </cell>
        </row>
        <row r="260">
          <cell r="E260" t="str">
            <v>Equity injection clawback (- only)</v>
          </cell>
          <cell r="N260">
            <v>0</v>
          </cell>
        </row>
        <row r="261">
          <cell r="E261" t="str">
            <v>Tax refinancing benefit clawback (- only)</v>
          </cell>
          <cell r="N261">
            <v>0</v>
          </cell>
        </row>
        <row r="262">
          <cell r="E262" t="str">
            <v>Outcome delivery incentive (+ or -)</v>
          </cell>
          <cell r="N262">
            <v>0</v>
          </cell>
        </row>
        <row r="263">
          <cell r="E263" t="str">
            <v>Totex menu additional income (+ or -)</v>
          </cell>
          <cell r="N263">
            <v>3.8432199580287101</v>
          </cell>
        </row>
        <row r="264">
          <cell r="E264" t="str">
            <v>Other tax adjustments (+ or -) Value Chosen</v>
          </cell>
          <cell r="N264">
            <v>0</v>
          </cell>
        </row>
        <row r="265">
          <cell r="E265" t="str">
            <v>Other adjustments (+ or -) Value Chosen</v>
          </cell>
          <cell r="N265">
            <v>0</v>
          </cell>
        </row>
        <row r="267">
          <cell r="E267" t="str">
            <v>Tax charge</v>
          </cell>
          <cell r="N267">
            <v>0</v>
          </cell>
        </row>
        <row r="268">
          <cell r="E268" t="str">
            <v>Revenue requirement including tax charge</v>
          </cell>
          <cell r="N268">
            <v>771.5270456350089</v>
          </cell>
        </row>
        <row r="287">
          <cell r="E287" t="str">
            <v>Phase 9: Re-profiled allowed revenue</v>
          </cell>
          <cell r="N287">
            <v>771.5270456350089</v>
          </cell>
        </row>
      </sheetData>
      <sheetData sheetId="19">
        <row r="82">
          <cell r="E82" t="str">
            <v>RCV as at 2015</v>
          </cell>
          <cell r="N82">
            <v>5321.0894397368047</v>
          </cell>
        </row>
        <row r="83">
          <cell r="E83" t="str">
            <v>Depreciation of 2015 RCV</v>
          </cell>
          <cell r="N83">
            <v>-242.10937690824159</v>
          </cell>
        </row>
        <row r="87">
          <cell r="E87" t="str">
            <v>Totex</v>
          </cell>
          <cell r="N87">
            <v>639.42238998442963</v>
          </cell>
        </row>
        <row r="88">
          <cell r="E88" t="str">
            <v>PAYG Totex</v>
          </cell>
          <cell r="N88">
            <v>332.29797981985269</v>
          </cell>
        </row>
        <row r="89">
          <cell r="E89" t="str">
            <v>Non-PAYG Totex</v>
          </cell>
          <cell r="N89">
            <v>307.12441016457694</v>
          </cell>
        </row>
        <row r="93">
          <cell r="E93" t="str">
            <v>Non-PAYG Totex</v>
          </cell>
          <cell r="J93">
            <v>640.71020051895766</v>
          </cell>
          <cell r="K93">
            <v>479.69060448130875</v>
          </cell>
          <cell r="L93">
            <v>464.5575645509079</v>
          </cell>
          <cell r="M93">
            <v>394.33954201081485</v>
          </cell>
        </row>
        <row r="107">
          <cell r="E107" t="str">
            <v>Average 2015 RCV</v>
          </cell>
          <cell r="N107">
            <v>5200.0347512826838</v>
          </cell>
        </row>
        <row r="108">
          <cell r="E108" t="str">
            <v>Average RCV; post 2015 additions</v>
          </cell>
          <cell r="N108">
            <v>1950.3368112122198</v>
          </cell>
        </row>
        <row r="112">
          <cell r="E112" t="str">
            <v>Return on 2015 RCV Bf</v>
          </cell>
          <cell r="N112">
            <v>187.20125104617659</v>
          </cell>
        </row>
        <row r="113">
          <cell r="E113" t="str">
            <v>Return on RCV Additions</v>
          </cell>
          <cell r="N113">
            <v>70.212125203639914</v>
          </cell>
        </row>
        <row r="231">
          <cell r="E231" t="str">
            <v>Pension deficit repair allowance</v>
          </cell>
          <cell r="N231">
            <v>8.3350050677115295</v>
          </cell>
        </row>
        <row r="235">
          <cell r="E235" t="str">
            <v>Other income (incl 3rd party income)</v>
          </cell>
          <cell r="N235">
            <v>-11.104398823210429</v>
          </cell>
        </row>
        <row r="256">
          <cell r="E256" t="str">
            <v>SIM adjustment (+ or -)</v>
          </cell>
          <cell r="N256">
            <v>-8.6570003306088594</v>
          </cell>
        </row>
        <row r="257">
          <cell r="E257" t="str">
            <v>Opex incentive allowance (+ only)</v>
          </cell>
          <cell r="N257">
            <v>0</v>
          </cell>
        </row>
        <row r="258">
          <cell r="E258" t="str">
            <v>CIS adjustment (+ or -)</v>
          </cell>
          <cell r="N258">
            <v>-15.504804607264999</v>
          </cell>
        </row>
        <row r="259">
          <cell r="E259" t="str">
            <v>RCM adjustment (+ or -)</v>
          </cell>
          <cell r="N259">
            <v>14.734171730493999</v>
          </cell>
        </row>
        <row r="260">
          <cell r="E260" t="str">
            <v>Equity injection clawback (- only)</v>
          </cell>
          <cell r="N260">
            <v>0</v>
          </cell>
        </row>
        <row r="261">
          <cell r="E261" t="str">
            <v>Tax refinancing benefit clawback (- only)</v>
          </cell>
          <cell r="N261">
            <v>0</v>
          </cell>
        </row>
        <row r="262">
          <cell r="E262" t="str">
            <v>Outcome delivery incentive (+ or -)</v>
          </cell>
          <cell r="N262">
            <v>0</v>
          </cell>
        </row>
        <row r="263">
          <cell r="E263" t="str">
            <v>Totex menu additional income (+ or -)</v>
          </cell>
          <cell r="N263">
            <v>1.5953513423549801</v>
          </cell>
        </row>
        <row r="264">
          <cell r="E264" t="str">
            <v>Other tax adjustments (+ or -) Value Chosen</v>
          </cell>
          <cell r="N264">
            <v>0</v>
          </cell>
        </row>
        <row r="265">
          <cell r="E265" t="str">
            <v>Other adjustments (+ or -) Value Chosen</v>
          </cell>
          <cell r="N265">
            <v>6.7848038507245398</v>
          </cell>
        </row>
        <row r="267">
          <cell r="E267" t="str">
            <v>Tax charge</v>
          </cell>
          <cell r="N267">
            <v>0</v>
          </cell>
        </row>
        <row r="268">
          <cell r="E268" t="str">
            <v>Revenue requirement including tax charge</v>
          </cell>
          <cell r="N268">
            <v>1068.6690793427263</v>
          </cell>
        </row>
        <row r="287">
          <cell r="E287" t="str">
            <v>Phase 9: Re-profiled allowed revenue</v>
          </cell>
          <cell r="N287">
            <v>1068.6690793427263</v>
          </cell>
        </row>
      </sheetData>
      <sheetData sheetId="20"/>
      <sheetData sheetId="21"/>
      <sheetData sheetId="22"/>
      <sheetData sheetId="23"/>
      <sheetData sheetId="24"/>
      <sheetData sheetId="25"/>
      <sheetData sheetId="26"/>
      <sheetData sheetId="27"/>
      <sheetData sheetId="28"/>
      <sheetData sheetId="29"/>
      <sheetData sheetId="30"/>
      <sheetData sheetId="31">
        <row r="26">
          <cell r="E26" t="str">
            <v>Wholesale water allowed revenue per customer excluding capital connection charges, other income and operating income</v>
          </cell>
          <cell r="N26">
            <v>168.18671460502523</v>
          </cell>
        </row>
        <row r="29">
          <cell r="E29" t="str">
            <v>Wholesale Wastewater allowed revenue per customer excluding capital connection charges, other income and operating income</v>
          </cell>
          <cell r="N29">
            <v>158.25979974834453</v>
          </cell>
        </row>
        <row r="32">
          <cell r="E32" t="str">
            <v>Retail allowed revenue per customer: single service</v>
          </cell>
          <cell r="N32">
            <v>27.091142525470477</v>
          </cell>
        </row>
        <row r="35">
          <cell r="E35" t="str">
            <v>Retail allowed revenue per customer: joint services</v>
          </cell>
          <cell r="N35">
            <v>35.218485283111619</v>
          </cell>
        </row>
        <row r="38">
          <cell r="E38" t="str">
            <v>Average water-only bill</v>
          </cell>
          <cell r="N38">
            <v>195.2778571304957</v>
          </cell>
        </row>
        <row r="41">
          <cell r="E41" t="str">
            <v>Average wastewater-only bill</v>
          </cell>
          <cell r="N41">
            <v>185.35094227381501</v>
          </cell>
        </row>
      </sheetData>
      <sheetData sheetId="32"/>
      <sheetData sheetId="33"/>
      <sheetData sheetId="34"/>
      <sheetData sheetId="35"/>
      <sheetData sheetId="36"/>
      <sheetData sheetId="37"/>
      <sheetData sheetId="38"/>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Documentation &gt;&gt;"/>
      <sheetName val="Map &amp; Key"/>
      <sheetName val="User guide"/>
      <sheetName val="Rulebook Contents"/>
      <sheetName val="Rulebook"/>
      <sheetName val="Inputs &amp; Assumptions &gt;&gt;"/>
      <sheetName val="F_Inputs"/>
      <sheetName val="InpOverride"/>
      <sheetName val="Sensi"/>
      <sheetName val="InpActive"/>
      <sheetName val="Outputs &gt;&gt;"/>
      <sheetName val="Dashboard"/>
      <sheetName val="Exec Summary"/>
      <sheetName val="RCV balance Summary"/>
      <sheetName val="F_Outputs_Original"/>
      <sheetName val="F_OutputsMaster"/>
      <sheetName val="Inputs_Summary"/>
      <sheetName val="Notionalisation_Inputs_Summary"/>
      <sheetName val="FinStat_Wholesale"/>
      <sheetName val="FinStat_Retail"/>
      <sheetName val="FinStat_Appointee"/>
      <sheetName val="Reports &gt;&gt;"/>
      <sheetName val="Price Limits_Retail"/>
      <sheetName val="Headroom Check"/>
      <sheetName val="Tax Reconciliation"/>
      <sheetName val="Global &gt;&gt;"/>
      <sheetName val="Time"/>
      <sheetName val="Index"/>
      <sheetName val="Wholesale &gt;&gt;"/>
      <sheetName val="Wholesale Global"/>
      <sheetName val="Water Resources"/>
      <sheetName val="Water Network"/>
      <sheetName val="Wastewater Network"/>
      <sheetName val="Bio Resources"/>
      <sheetName val="Dummy Control"/>
      <sheetName val="Analysis_Water Resources"/>
      <sheetName val="Analysis_Water Network"/>
      <sheetName val="Analysis_Wastewater"/>
      <sheetName val="Analysis_Bio Resources"/>
      <sheetName val="Analysis_Dummy Control"/>
      <sheetName val="Wholesale"/>
      <sheetName val="Analysis_Wholesale"/>
      <sheetName val="FinStat_Water Resources"/>
      <sheetName val="FinStat_Water Network"/>
      <sheetName val="FinStat_Wastewater Network"/>
      <sheetName val="FinStat_Bio Resources"/>
      <sheetName val="FinStat_Dummy control"/>
      <sheetName val="Retail &gt;&gt;"/>
      <sheetName val="Retail_Residential"/>
      <sheetName val="Retail_Business"/>
      <sheetName val="FinStat_Residential"/>
      <sheetName val="FinStat_Business"/>
      <sheetName val="Appointee &gt;&gt;"/>
      <sheetName val="Appointee"/>
      <sheetName val="Analysis_Appointee"/>
      <sheetName val="RoRE_Calc"/>
      <sheetName val="Bill Module"/>
      <sheetName val="Summary_Calc"/>
      <sheetName val="Graph data"/>
      <sheetName val="Model Control &gt;&gt;"/>
      <sheetName val="Track"/>
      <sheetName val="Check (5 Year)"/>
      <sheetName val="Check (All Years)"/>
      <sheetName val="TW added sheets &gt;&gt;"/>
      <sheetName val="Summary data"/>
    </sheetNames>
    <sheetDataSet>
      <sheetData sheetId="0"/>
      <sheetData sheetId="1"/>
      <sheetData sheetId="2"/>
      <sheetData sheetId="3"/>
      <sheetData sheetId="4"/>
      <sheetData sheetId="5"/>
      <sheetData sheetId="6"/>
      <sheetData sheetId="7"/>
      <sheetData sheetId="8"/>
      <sheetData sheetId="9"/>
      <sheetData sheetId="10">
        <row r="63">
          <cell r="E63" t="str">
            <v>Company Name</v>
          </cell>
          <cell r="F63" t="str">
            <v>TMS</v>
          </cell>
        </row>
        <row r="65">
          <cell r="E65" t="str">
            <v>Company Type</v>
          </cell>
          <cell r="F65" t="str">
            <v>WaSC</v>
          </cell>
        </row>
        <row r="268">
          <cell r="E268" t="str">
            <v>Run-off rate - CPI(H) - active - WR</v>
          </cell>
          <cell r="F268">
            <v>0</v>
          </cell>
          <cell r="G268" t="str">
            <v>%</v>
          </cell>
          <cell r="P268">
            <v>3.8908454928127709E-2</v>
          </cell>
        </row>
        <row r="269">
          <cell r="E269" t="str">
            <v>Run-off rate - CPI(H) + RPI wedge - active - WR</v>
          </cell>
          <cell r="F269">
            <v>0</v>
          </cell>
          <cell r="G269" t="str">
            <v>%</v>
          </cell>
          <cell r="P269">
            <v>3.8908454928127709E-2</v>
          </cell>
        </row>
        <row r="270">
          <cell r="E270" t="str">
            <v>Run-off rate - RCV additions - active - WR</v>
          </cell>
          <cell r="F270">
            <v>0</v>
          </cell>
          <cell r="G270" t="str">
            <v>%</v>
          </cell>
          <cell r="P270">
            <v>4.4337374717674384E-2</v>
          </cell>
        </row>
        <row r="472">
          <cell r="E472" t="str">
            <v>Run-off rate - CPI(H) - active - WN</v>
          </cell>
          <cell r="F472">
            <v>0</v>
          </cell>
          <cell r="G472" t="str">
            <v>%</v>
          </cell>
          <cell r="P472">
            <v>4.3484507165619517E-2</v>
          </cell>
        </row>
        <row r="473">
          <cell r="E473" t="str">
            <v>Run-off rate - CPI(H) + RPI wedge - active - WN</v>
          </cell>
          <cell r="F473">
            <v>0</v>
          </cell>
          <cell r="G473" t="str">
            <v>%</v>
          </cell>
          <cell r="P473">
            <v>4.51122655078528E-2</v>
          </cell>
        </row>
        <row r="474">
          <cell r="E474" t="str">
            <v>Run-off rate - RCV additions - active - WN</v>
          </cell>
          <cell r="F474">
            <v>0</v>
          </cell>
          <cell r="G474" t="str">
            <v>%</v>
          </cell>
          <cell r="P474">
            <v>4.3484507165619517E-2</v>
          </cell>
        </row>
        <row r="675">
          <cell r="E675" t="str">
            <v>Run-off rate - CPI(H) - active - WWN</v>
          </cell>
          <cell r="F675">
            <v>0</v>
          </cell>
          <cell r="G675" t="str">
            <v>%</v>
          </cell>
          <cell r="P675">
            <v>5.3207581341717006E-2</v>
          </cell>
        </row>
        <row r="676">
          <cell r="E676" t="str">
            <v>Run-off rate - CPI(H) + RPI wedge - active - WWN</v>
          </cell>
          <cell r="F676">
            <v>0</v>
          </cell>
          <cell r="G676" t="str">
            <v>%</v>
          </cell>
          <cell r="P676">
            <v>5.1735881622974648E-2</v>
          </cell>
        </row>
        <row r="677">
          <cell r="E677" t="str">
            <v>Run-off rate - RCV additions - active - WWN</v>
          </cell>
          <cell r="F677">
            <v>0</v>
          </cell>
          <cell r="G677" t="str">
            <v>%</v>
          </cell>
          <cell r="P677">
            <v>5.3207581341717006E-2</v>
          </cell>
        </row>
        <row r="871">
          <cell r="E871" t="str">
            <v>Run-off rate - CPI(H) - active - BR</v>
          </cell>
          <cell r="F871">
            <v>0</v>
          </cell>
          <cell r="G871" t="str">
            <v>%</v>
          </cell>
          <cell r="P871">
            <v>5.1632027572433868E-2</v>
          </cell>
        </row>
        <row r="872">
          <cell r="E872" t="str">
            <v>Run-off rate - CPI(H) + RPI wedge - active - BR</v>
          </cell>
          <cell r="F872">
            <v>0</v>
          </cell>
          <cell r="G872" t="str">
            <v>%</v>
          </cell>
          <cell r="P872">
            <v>5.1632027572433868E-2</v>
          </cell>
        </row>
        <row r="873">
          <cell r="E873" t="str">
            <v>Run-off rate - RCV additions - active - BR</v>
          </cell>
          <cell r="F873">
            <v>0</v>
          </cell>
          <cell r="G873" t="str">
            <v>%</v>
          </cell>
          <cell r="P873">
            <v>7.5631229250522083E-2</v>
          </cell>
        </row>
        <row r="1329">
          <cell r="E1329" t="str">
            <v>Households connected for water only - metered</v>
          </cell>
          <cell r="G1329" t="str">
            <v>000s</v>
          </cell>
          <cell r="P1329">
            <v>33.750999999999998</v>
          </cell>
        </row>
        <row r="1330">
          <cell r="E1330" t="str">
            <v>Households connected for sewerage only - unmetered</v>
          </cell>
          <cell r="G1330" t="str">
            <v>000s</v>
          </cell>
          <cell r="P1330">
            <v>553.08500000000004</v>
          </cell>
        </row>
        <row r="1331">
          <cell r="E1331" t="str">
            <v>Households connected for water and sewerage - metered</v>
          </cell>
          <cell r="G1331" t="str">
            <v>000s</v>
          </cell>
          <cell r="P1331">
            <v>2208.8989999999999</v>
          </cell>
        </row>
        <row r="1332">
          <cell r="E1332" t="str">
            <v>Households connected for water only - unmetered</v>
          </cell>
          <cell r="G1332" t="str">
            <v>000s</v>
          </cell>
          <cell r="P1332">
            <v>18.925000000000001</v>
          </cell>
        </row>
        <row r="1333">
          <cell r="E1333" t="str">
            <v>Households connected for sewerage only - metered</v>
          </cell>
          <cell r="G1333" t="str">
            <v>000s</v>
          </cell>
          <cell r="P1333">
            <v>1526.117</v>
          </cell>
        </row>
        <row r="1334">
          <cell r="E1334" t="str">
            <v>Households connected for water and sewerage - unmetered</v>
          </cell>
          <cell r="G1334" t="str">
            <v>000s</v>
          </cell>
          <cell r="P1334">
            <v>1501.171</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42">
          <cell r="E42" t="str">
            <v>Third party &amp; principle service revenues - WR - real</v>
          </cell>
          <cell r="G42" t="str">
            <v>£m</v>
          </cell>
          <cell r="P42">
            <v>-3.8460000000000001</v>
          </cell>
        </row>
        <row r="52">
          <cell r="E52" t="str">
            <v>Total direct procurement from customers - infrastructure cost - WR - real</v>
          </cell>
          <cell r="G52" t="str">
            <v>£m</v>
          </cell>
          <cell r="P52">
            <v>0</v>
          </cell>
        </row>
        <row r="98">
          <cell r="E98" t="str">
            <v>Water resources - End of Period ODIs (+ or -) Value Chosen - active - real</v>
          </cell>
          <cell r="F98">
            <v>0</v>
          </cell>
          <cell r="G98" t="str">
            <v>£m</v>
          </cell>
          <cell r="P98">
            <v>0</v>
          </cell>
        </row>
        <row r="99">
          <cell r="E99" t="str">
            <v>Water resources - In period ODIs (+ or -) Value Chosen - active - real</v>
          </cell>
          <cell r="F99">
            <v>0</v>
          </cell>
          <cell r="G99" t="str">
            <v>£m</v>
          </cell>
          <cell r="P99">
            <v>0</v>
          </cell>
        </row>
        <row r="100">
          <cell r="E100" t="str">
            <v>Water resources - Totex (+ or -) Value Chosen - active - adjusted - real</v>
          </cell>
          <cell r="F100">
            <v>0</v>
          </cell>
          <cell r="G100" t="str">
            <v>£m</v>
          </cell>
          <cell r="P100">
            <v>0</v>
          </cell>
        </row>
        <row r="101">
          <cell r="E101" t="str">
            <v>Water resources - WRFIM (+ or -) Value Chosen - active - adjusted - real</v>
          </cell>
          <cell r="F101">
            <v>0</v>
          </cell>
          <cell r="G101" t="str">
            <v>£m</v>
          </cell>
          <cell r="P101">
            <v>0</v>
          </cell>
        </row>
        <row r="102">
          <cell r="E102" t="str">
            <v>Water resources - Residential retail mechanism (+ or -) Value Chosen - active - real</v>
          </cell>
          <cell r="F102">
            <v>0</v>
          </cell>
          <cell r="G102" t="str">
            <v>£m</v>
          </cell>
          <cell r="P102">
            <v>0</v>
          </cell>
        </row>
        <row r="103">
          <cell r="E103" t="str">
            <v>Water resources - Blind year (+ or -) Value Chosen - active - real</v>
          </cell>
          <cell r="F103">
            <v>0</v>
          </cell>
          <cell r="G103" t="str">
            <v>£m</v>
          </cell>
          <cell r="P103">
            <v>0</v>
          </cell>
        </row>
        <row r="104">
          <cell r="E104" t="str">
            <v>Water resources - Water trading incentive (+ or -) Value Chosen - active - real</v>
          </cell>
          <cell r="F104">
            <v>0</v>
          </cell>
          <cell r="G104" t="str">
            <v>£m</v>
          </cell>
          <cell r="P104">
            <v>0.17571881381591434</v>
          </cell>
        </row>
        <row r="112">
          <cell r="E112" t="str">
            <v>Wholesale Water resources service defined benefit pension deficit recovery  per IN13/17 - real</v>
          </cell>
          <cell r="F112">
            <v>0</v>
          </cell>
          <cell r="G112" t="str">
            <v>£m</v>
          </cell>
          <cell r="P112">
            <v>0</v>
          </cell>
        </row>
        <row r="185">
          <cell r="E185" t="str">
            <v xml:space="preserve">Re-profiled allowed revenue adjusted (excl. tax) - WR - real </v>
          </cell>
          <cell r="F185">
            <v>0</v>
          </cell>
          <cell r="G185" t="str">
            <v>£m</v>
          </cell>
          <cell r="P185">
            <v>94.818533597208315</v>
          </cell>
        </row>
        <row r="186">
          <cell r="E186" t="str">
            <v>Revenue requirement excluding tax charge - WR - real</v>
          </cell>
          <cell r="F186">
            <v>0</v>
          </cell>
          <cell r="G186" t="str">
            <v>£m</v>
          </cell>
          <cell r="P186">
            <v>94.818533597208315</v>
          </cell>
        </row>
        <row r="193">
          <cell r="E193" t="str">
            <v>Revenue requirement with impact of reprofiling excl. tax charge - WR - nominal</v>
          </cell>
          <cell r="G193" t="str">
            <v>£m</v>
          </cell>
          <cell r="P193">
            <v>108.82069851278283</v>
          </cell>
        </row>
        <row r="457">
          <cell r="E457" t="str">
            <v>Totex - net of grants and contributions - WR (post sensi adj) - nominal</v>
          </cell>
          <cell r="G457" t="str">
            <v>£m</v>
          </cell>
          <cell r="P457">
            <v>125.5936248111251</v>
          </cell>
        </row>
        <row r="465">
          <cell r="E465" t="str">
            <v>PAYG% - water resources - active - WR</v>
          </cell>
          <cell r="F465">
            <v>0</v>
          </cell>
          <cell r="G465" t="str">
            <v>%</v>
          </cell>
          <cell r="P465">
            <v>0.62191160288316938</v>
          </cell>
        </row>
        <row r="466">
          <cell r="E466" t="str">
            <v>Water resources: PAYG Totex - nominal</v>
          </cell>
          <cell r="G466" t="str">
            <v>£m</v>
          </cell>
          <cell r="P466">
            <v>78.108132518194196</v>
          </cell>
        </row>
        <row r="808">
          <cell r="E808" t="str">
            <v>RCV CPI(H) bf balance BEG - WR - nominal</v>
          </cell>
          <cell r="G808" t="str">
            <v>£m</v>
          </cell>
          <cell r="P808">
            <v>141.66676100153128</v>
          </cell>
        </row>
        <row r="809">
          <cell r="E809" t="str">
            <v>Indexation on RCV - CPI(H) bf balance - WR - nominal</v>
          </cell>
          <cell r="F809">
            <v>0</v>
          </cell>
          <cell r="G809" t="str">
            <v>£m</v>
          </cell>
          <cell r="P809">
            <v>2.8333352200306599</v>
          </cell>
        </row>
        <row r="810">
          <cell r="E810" t="str">
            <v>RCV - CPI(H) bf depreciation - WR - nominal</v>
          </cell>
          <cell r="F810">
            <v>0</v>
          </cell>
          <cell r="G810" t="str">
            <v>£m</v>
          </cell>
          <cell r="P810">
            <v>5.6222754809467599</v>
          </cell>
        </row>
        <row r="852">
          <cell r="E852" t="str">
            <v>WACC real on RCV - CPI(H) bf and additions - WR</v>
          </cell>
          <cell r="G852" t="str">
            <v>%</v>
          </cell>
          <cell r="P852">
            <v>3.3039191176470473E-2</v>
          </cell>
        </row>
        <row r="859">
          <cell r="E859" t="str">
            <v>Average of RCV - CPI(H) bf - WR - nominal</v>
          </cell>
          <cell r="G859" t="str">
            <v>£m</v>
          </cell>
          <cell r="P859">
            <v>141.68895848108855</v>
          </cell>
        </row>
        <row r="863">
          <cell r="E863" t="str">
            <v>Return on RCV - CPI(H) bf - WR - nominal</v>
          </cell>
          <cell r="G863" t="str">
            <v>£m</v>
          </cell>
          <cell r="P863">
            <v>4.6812885868516716</v>
          </cell>
        </row>
        <row r="870">
          <cell r="E870" t="str">
            <v>Average of RCV - CPI(H) other adjustments balance - WR - nominal</v>
          </cell>
          <cell r="G870" t="str">
            <v>£m</v>
          </cell>
          <cell r="P870">
            <v>0</v>
          </cell>
        </row>
        <row r="874">
          <cell r="E874" t="str">
            <v>Return on RCV - CPI(H) other adjustments - WR - nominal</v>
          </cell>
          <cell r="P874">
            <v>0</v>
          </cell>
        </row>
        <row r="957">
          <cell r="E957" t="str">
            <v>RCV CPI(H) + RPI wedge bf balance BEG - WR - nominal</v>
          </cell>
          <cell r="G957" t="str">
            <v>£m</v>
          </cell>
          <cell r="P957">
            <v>147.42637549280946</v>
          </cell>
        </row>
        <row r="958">
          <cell r="E958" t="str">
            <v>Indexation on RCV - CPI(H) + RPI wedge bf balance - WR - nominal</v>
          </cell>
          <cell r="F958">
            <v>0</v>
          </cell>
          <cell r="G958" t="str">
            <v>£m</v>
          </cell>
          <cell r="P958">
            <v>4.422791264784288</v>
          </cell>
        </row>
        <row r="959">
          <cell r="E959" t="str">
            <v>RCV - CPI(H) + RPI wedge bf depreciation - WR - nominal</v>
          </cell>
          <cell r="F959">
            <v>0</v>
          </cell>
          <cell r="G959" t="str">
            <v>£m</v>
          </cell>
          <cell r="P959">
            <v>5.9082164606615839</v>
          </cell>
        </row>
        <row r="972">
          <cell r="E972" t="str">
            <v>WACC on RCV - CPI(H) + RPI wedge bf and additions - WR</v>
          </cell>
          <cell r="G972" t="str">
            <v>%</v>
          </cell>
          <cell r="P972">
            <v>2.3009684466019475E-2</v>
          </cell>
        </row>
        <row r="979">
          <cell r="E979" t="str">
            <v>Average of RCV - CPI(H) + RPI wedge bf - WR - nominal</v>
          </cell>
          <cell r="G979" t="str">
            <v>£m</v>
          </cell>
          <cell r="P979">
            <v>148.89505852726296</v>
          </cell>
        </row>
        <row r="983">
          <cell r="E983" t="str">
            <v>Return on RCV - CPI(H) + RPI wedge bf - WR - nominal</v>
          </cell>
          <cell r="G983" t="str">
            <v>£m</v>
          </cell>
          <cell r="P983">
            <v>3.4260283152618234</v>
          </cell>
        </row>
        <row r="1014">
          <cell r="E1014" t="str">
            <v>Indexation of RCV additions b/f - WR - nominal</v>
          </cell>
          <cell r="F1014">
            <v>0</v>
          </cell>
          <cell r="G1014" t="str">
            <v>£m</v>
          </cell>
          <cell r="P1014">
            <v>3.445334680974995</v>
          </cell>
        </row>
        <row r="1019">
          <cell r="E1019" t="str">
            <v>Proportion of capex that is subject to depreciation in year of acquisition - RCV</v>
          </cell>
          <cell r="F1019">
            <v>0.5</v>
          </cell>
          <cell r="G1019" t="str">
            <v>%</v>
          </cell>
        </row>
        <row r="1020">
          <cell r="E1020" t="str">
            <v>Water resources: Non-PAYG Totex - nominal</v>
          </cell>
          <cell r="F1020">
            <v>0</v>
          </cell>
          <cell r="G1020" t="str">
            <v>£m</v>
          </cell>
          <cell r="P1020">
            <v>47.4854922929309</v>
          </cell>
        </row>
        <row r="1029">
          <cell r="E1029" t="str">
            <v>Post 2020 investment run off rate  - Method used to apply run off rate (straight line or reducing balance) ~ water resources</v>
          </cell>
          <cell r="F1029" t="str">
            <v>Reducing balance</v>
          </cell>
          <cell r="G1029" t="str">
            <v>switch</v>
          </cell>
        </row>
        <row r="1042">
          <cell r="E1042" t="str">
            <v>RCV additions balance BEG - WR - nominal</v>
          </cell>
          <cell r="G1042" t="str">
            <v>£m</v>
          </cell>
          <cell r="P1042">
            <v>172.26673404874768</v>
          </cell>
        </row>
        <row r="1112">
          <cell r="E1112" t="str">
            <v>Average of RCV post 2020 additions - WR - nominal</v>
          </cell>
          <cell r="G1112" t="str">
            <v>£m</v>
          </cell>
          <cell r="P1112">
            <v>195.03316344298315</v>
          </cell>
        </row>
        <row r="1116">
          <cell r="E1116" t="str">
            <v>Return on RCV additions - WR - nominal</v>
          </cell>
          <cell r="G1116" t="str">
            <v>£m</v>
          </cell>
          <cell r="P1116">
            <v>6.4437379727445325</v>
          </cell>
        </row>
      </sheetData>
      <sheetData sheetId="32">
        <row r="42">
          <cell r="E42" t="str">
            <v>Third party &amp; principle service revenues - WN - real</v>
          </cell>
          <cell r="G42" t="str">
            <v>£m</v>
          </cell>
          <cell r="P42">
            <v>-5.0771699485204778</v>
          </cell>
        </row>
        <row r="52">
          <cell r="E52" t="str">
            <v>Total direct procurement from customers - infrastructure cost - WN - real</v>
          </cell>
          <cell r="G52" t="str">
            <v>£m</v>
          </cell>
          <cell r="P52">
            <v>0</v>
          </cell>
        </row>
        <row r="98">
          <cell r="E98" t="str">
            <v>Water network - End of Period ODIs (+ or -) Value Chosen - active - real</v>
          </cell>
          <cell r="F98">
            <v>0</v>
          </cell>
          <cell r="G98" t="str">
            <v>£m</v>
          </cell>
          <cell r="P98">
            <v>-18.439564592388635</v>
          </cell>
        </row>
        <row r="99">
          <cell r="E99" t="str">
            <v>Water network - In period ODIs (+ or -) Value Chosen - active - real</v>
          </cell>
          <cell r="F99">
            <v>0</v>
          </cell>
          <cell r="G99" t="str">
            <v>£m</v>
          </cell>
          <cell r="P99">
            <v>0</v>
          </cell>
        </row>
        <row r="100">
          <cell r="E100" t="str">
            <v>Water network - Totex (+ or -) Value Chosen - active - adjusted - real</v>
          </cell>
          <cell r="F100">
            <v>0</v>
          </cell>
          <cell r="G100" t="str">
            <v>£m</v>
          </cell>
          <cell r="P100">
            <v>-1.2110419851433987</v>
          </cell>
        </row>
        <row r="101">
          <cell r="E101" t="str">
            <v>Water network - WRFIM (+ or -) Value Chosen - active - adjusted - real</v>
          </cell>
          <cell r="F101">
            <v>0</v>
          </cell>
          <cell r="G101" t="str">
            <v>£m</v>
          </cell>
          <cell r="P101">
            <v>19.064803860905339</v>
          </cell>
        </row>
        <row r="102">
          <cell r="E102" t="str">
            <v>Water network - Residential retail mechanism (+ or -) Value Chosen - active - real</v>
          </cell>
          <cell r="F102">
            <v>0</v>
          </cell>
          <cell r="G102" t="str">
            <v>£m</v>
          </cell>
          <cell r="P102">
            <v>0</v>
          </cell>
        </row>
        <row r="103">
          <cell r="E103" t="str">
            <v>Water network - Blind year (+ or -) Value Chosen - active - real</v>
          </cell>
          <cell r="F103">
            <v>0</v>
          </cell>
          <cell r="G103" t="str">
            <v>£m</v>
          </cell>
          <cell r="P103">
            <v>-0.29632065056929341</v>
          </cell>
        </row>
        <row r="104">
          <cell r="E104" t="str">
            <v>Water network - Water trading incentive (+ or -) Value Chosen - active - real</v>
          </cell>
          <cell r="F104">
            <v>0</v>
          </cell>
          <cell r="G104" t="str">
            <v>£m</v>
          </cell>
          <cell r="P104">
            <v>0</v>
          </cell>
        </row>
        <row r="112">
          <cell r="E112" t="str">
            <v>Wholesale Water network service defined benefit pension deficit recovery  per IN13/17 - real</v>
          </cell>
          <cell r="F112">
            <v>0</v>
          </cell>
          <cell r="G112" t="str">
            <v>£m</v>
          </cell>
          <cell r="P112">
            <v>0</v>
          </cell>
        </row>
        <row r="185">
          <cell r="E185" t="str">
            <v xml:space="preserve">Re-profiled allowed revenue adjusted (excl. tax) - WN - real </v>
          </cell>
          <cell r="F185">
            <v>0</v>
          </cell>
          <cell r="G185" t="str">
            <v>£m</v>
          </cell>
          <cell r="P185">
            <v>886.24562089247104</v>
          </cell>
        </row>
        <row r="186">
          <cell r="E186" t="str">
            <v>Revenue requirement excluding tax charge - WN - real</v>
          </cell>
          <cell r="F186">
            <v>0</v>
          </cell>
          <cell r="G186" t="str">
            <v>£m</v>
          </cell>
          <cell r="P186">
            <v>886.24562089247104</v>
          </cell>
        </row>
        <row r="193">
          <cell r="E193" t="str">
            <v>Revenue requirement with impact of reprofiling excl. tax charge - WN - nominal</v>
          </cell>
          <cell r="G193" t="str">
            <v>£m</v>
          </cell>
          <cell r="P193">
            <v>1017.1204284713078</v>
          </cell>
        </row>
        <row r="457">
          <cell r="E457" t="str">
            <v>Totex - net of grants and contributions - WN (post sensi adj) - nominal</v>
          </cell>
          <cell r="G457" t="str">
            <v>£m</v>
          </cell>
          <cell r="P457">
            <v>1006.9333628441664</v>
          </cell>
        </row>
        <row r="465">
          <cell r="E465" t="str">
            <v>PAYG% - water network - active - WN</v>
          </cell>
          <cell r="F465">
            <v>0</v>
          </cell>
          <cell r="G465" t="str">
            <v>%</v>
          </cell>
          <cell r="P465">
            <v>0.40184699779858335</v>
          </cell>
        </row>
        <row r="466">
          <cell r="E466" t="str">
            <v>Water network: PAYG Totex - nominal</v>
          </cell>
          <cell r="G466" t="str">
            <v>£m</v>
          </cell>
          <cell r="P466">
            <v>404.63314884215987</v>
          </cell>
        </row>
        <row r="808">
          <cell r="E808" t="str">
            <v>RCV CPI(H) bf balance BEG - WN - nominal</v>
          </cell>
          <cell r="G808" t="str">
            <v>£m</v>
          </cell>
          <cell r="P808">
            <v>2759.9548919172926</v>
          </cell>
        </row>
        <row r="809">
          <cell r="E809" t="str">
            <v>Indexation on RCV - CPI(H) bf balance - WN - nominal</v>
          </cell>
          <cell r="F809">
            <v>0</v>
          </cell>
          <cell r="G809" t="str">
            <v>£m</v>
          </cell>
          <cell r="P809">
            <v>55.199097838346511</v>
          </cell>
        </row>
        <row r="810">
          <cell r="E810" t="str">
            <v>RCV - CPI(H) bf depreciation - WN - nominal</v>
          </cell>
          <cell r="F810">
            <v>0</v>
          </cell>
          <cell r="G810" t="str">
            <v>£m</v>
          </cell>
          <cell r="P810">
            <v>122.41558383985145</v>
          </cell>
        </row>
        <row r="852">
          <cell r="E852" t="str">
            <v>WACC real on RCV - CPI(H) bf and additions - WN</v>
          </cell>
          <cell r="G852" t="str">
            <v>%</v>
          </cell>
          <cell r="P852">
            <v>3.3039191176470473E-2</v>
          </cell>
        </row>
        <row r="859">
          <cell r="E859" t="str">
            <v>Average of RCV - CPI(H) bf - WN - nominal</v>
          </cell>
          <cell r="G859" t="str">
            <v>£m</v>
          </cell>
          <cell r="P859">
            <v>2753.9461978357131</v>
          </cell>
        </row>
        <row r="863">
          <cell r="E863" t="str">
            <v>Return on RCV - CPI(H) bf - WN - nominal</v>
          </cell>
          <cell r="G863" t="str">
            <v>£m</v>
          </cell>
          <cell r="P863">
            <v>90.9881549200081</v>
          </cell>
        </row>
        <row r="870">
          <cell r="E870" t="str">
            <v>Average of RCV - CPI(H) other adjustments balance - WN - nominal</v>
          </cell>
          <cell r="G870" t="str">
            <v>£m</v>
          </cell>
          <cell r="P870">
            <v>0</v>
          </cell>
        </row>
        <row r="874">
          <cell r="E874" t="str">
            <v>Return on RCV - CPI(H) other adjustments - WN - nominal</v>
          </cell>
          <cell r="G874" t="str">
            <v>£m</v>
          </cell>
          <cell r="P874">
            <v>0</v>
          </cell>
        </row>
        <row r="957">
          <cell r="E957" t="str">
            <v>RCV CPI(H) + RPI wedge bf balance BEG - WN - nominal</v>
          </cell>
          <cell r="G957" t="str">
            <v>£m</v>
          </cell>
          <cell r="P957">
            <v>2939.5228049682587</v>
          </cell>
        </row>
        <row r="958">
          <cell r="E958" t="str">
            <v>Indexation on RCV - CPI(H) + RPI wedge bf balance - WN - nominal</v>
          </cell>
          <cell r="F958">
            <v>0</v>
          </cell>
          <cell r="G958" t="str">
            <v>£m</v>
          </cell>
          <cell r="P958">
            <v>88.185684149047844</v>
          </cell>
        </row>
        <row r="959">
          <cell r="E959" t="str">
            <v>RCV - CPI(H) + RPI wedge bf depreciation - WN - nominal</v>
          </cell>
          <cell r="F959">
            <v>0</v>
          </cell>
          <cell r="G959" t="str">
            <v>£m</v>
          </cell>
          <cell r="P959">
            <v>136.58678924143979</v>
          </cell>
        </row>
        <row r="972">
          <cell r="E972" t="str">
            <v>WACC on RCV - CPI(H) + RPI wedge bf and additions - WN</v>
          </cell>
          <cell r="G972" t="str">
            <v>%</v>
          </cell>
          <cell r="P972">
            <v>2.3009684466019475E-2</v>
          </cell>
        </row>
        <row r="979">
          <cell r="E979" t="str">
            <v>Average of RCV - CPI(H) + RPI wedge bf - WN - nominal</v>
          </cell>
          <cell r="G979" t="str">
            <v>£m</v>
          </cell>
          <cell r="P979">
            <v>2959.4150944965868</v>
          </cell>
        </row>
        <row r="983">
          <cell r="E983" t="str">
            <v>Return on RCV - CPI(H) + RPI wedge bf - WN - nominal</v>
          </cell>
          <cell r="G983" t="str">
            <v>£m</v>
          </cell>
          <cell r="P983">
            <v>68.095207528341675</v>
          </cell>
        </row>
        <row r="1014">
          <cell r="E1014" t="str">
            <v>Indexation of RCV additions b/f - WN - nominal</v>
          </cell>
          <cell r="F1014">
            <v>0</v>
          </cell>
          <cell r="G1014" t="str">
            <v>£m</v>
          </cell>
          <cell r="P1014">
            <v>46.148140132839032</v>
          </cell>
        </row>
        <row r="1019">
          <cell r="E1019" t="str">
            <v>Proportion of capex that is subject to depreciation in year of acquisition - RCV</v>
          </cell>
          <cell r="F1019">
            <v>0.5</v>
          </cell>
          <cell r="G1019" t="str">
            <v>%</v>
          </cell>
        </row>
        <row r="1020">
          <cell r="E1020" t="str">
            <v>Water network: Non-PAYG Totex - nominal</v>
          </cell>
          <cell r="F1020">
            <v>0</v>
          </cell>
          <cell r="G1020" t="str">
            <v>£m</v>
          </cell>
          <cell r="P1020">
            <v>602.30021400200656</v>
          </cell>
        </row>
        <row r="1029">
          <cell r="E1029" t="str">
            <v>RCV run off rate ~ CPI/CPI(H) linked RCV - Method used to apply run off rate (straight line or reducing balance) ~ water network plus CPI(H) linked</v>
          </cell>
          <cell r="F1029" t="str">
            <v>Reducing balance</v>
          </cell>
          <cell r="G1029" t="str">
            <v>switch</v>
          </cell>
        </row>
        <row r="1042">
          <cell r="E1042" t="str">
            <v>RCV additions balance BEG - WN - nominal</v>
          </cell>
          <cell r="G1042" t="str">
            <v>£m</v>
          </cell>
          <cell r="P1042">
            <v>2307.407006641924</v>
          </cell>
        </row>
        <row r="1112">
          <cell r="E1112" t="str">
            <v>Average of RCV post 2020 additions - WN - nominal</v>
          </cell>
          <cell r="G1112" t="str">
            <v>£m</v>
          </cell>
          <cell r="P1112">
            <v>2596.9859789605562</v>
          </cell>
        </row>
        <row r="1116">
          <cell r="E1116" t="str">
            <v>Return on RCV additions - WN - nominal</v>
          </cell>
          <cell r="G1116" t="str">
            <v>£m</v>
          </cell>
          <cell r="P1116">
            <v>85.802316241491141</v>
          </cell>
        </row>
      </sheetData>
      <sheetData sheetId="33">
        <row r="42">
          <cell r="E42" t="str">
            <v>Third party &amp; principle service revenues - WWN - real</v>
          </cell>
          <cell r="G42" t="str">
            <v>£m</v>
          </cell>
          <cell r="P42">
            <v>-10.076956887580588</v>
          </cell>
        </row>
        <row r="52">
          <cell r="E52" t="str">
            <v>Total direct procurement from customers - infrastructure cost - WWN - real</v>
          </cell>
          <cell r="G52" t="str">
            <v>£m</v>
          </cell>
          <cell r="P52">
            <v>0</v>
          </cell>
        </row>
        <row r="98">
          <cell r="E98" t="str">
            <v>Wastewater network - End of Period ODIs (+ or -) Value Chosen - active - real</v>
          </cell>
          <cell r="F98">
            <v>0</v>
          </cell>
          <cell r="G98" t="str">
            <v>£m</v>
          </cell>
          <cell r="P98">
            <v>-2.8649152430218865</v>
          </cell>
        </row>
        <row r="99">
          <cell r="E99" t="str">
            <v>Wastewater network - In period ODIs (+ or -) Value Chosen - active - real</v>
          </cell>
          <cell r="F99">
            <v>0</v>
          </cell>
          <cell r="G99" t="str">
            <v>£m</v>
          </cell>
          <cell r="P99">
            <v>0</v>
          </cell>
        </row>
        <row r="100">
          <cell r="E100" t="str">
            <v>Wastewater network - Totex (+ or -) Value Chosen - active - adjusted - real</v>
          </cell>
          <cell r="F100">
            <v>0</v>
          </cell>
          <cell r="G100" t="str">
            <v>£m</v>
          </cell>
          <cell r="P100">
            <v>-0.44728498741093464</v>
          </cell>
        </row>
        <row r="101">
          <cell r="E101" t="str">
            <v>Wastewater network - WRFIM (+ or -) Value Chosen - active - adjusted - real</v>
          </cell>
          <cell r="F101">
            <v>0</v>
          </cell>
          <cell r="G101" t="str">
            <v>£m</v>
          </cell>
          <cell r="P101">
            <v>10.734205248829692</v>
          </cell>
        </row>
        <row r="102">
          <cell r="E102" t="str">
            <v>Wastewater network - Residential retail mechanism (+ or -) Value Chosen - active - real</v>
          </cell>
          <cell r="F102">
            <v>0</v>
          </cell>
          <cell r="G102" t="str">
            <v>£m</v>
          </cell>
          <cell r="P102">
            <v>0</v>
          </cell>
        </row>
        <row r="103">
          <cell r="E103" t="str">
            <v>Wastewater network - Blind year (+ or -) Value Chosen - active - real</v>
          </cell>
          <cell r="F103">
            <v>0</v>
          </cell>
          <cell r="G103" t="str">
            <v>£m</v>
          </cell>
          <cell r="P103">
            <v>-5.5435591561383202</v>
          </cell>
        </row>
        <row r="104">
          <cell r="E104" t="str">
            <v>Wastewater network - Water trading incentive (+ or -) Value Chosen - active - real</v>
          </cell>
          <cell r="F104">
            <v>0</v>
          </cell>
          <cell r="G104" t="str">
            <v>£m</v>
          </cell>
          <cell r="P104">
            <v>0</v>
          </cell>
        </row>
        <row r="112">
          <cell r="E112" t="str">
            <v>Wholesale Wastewater network service defined benefit pension deficit recovery per IN13/17 - real</v>
          </cell>
          <cell r="F112">
            <v>0</v>
          </cell>
          <cell r="G112" t="str">
            <v>£m</v>
          </cell>
          <cell r="P112">
            <v>0</v>
          </cell>
        </row>
        <row r="185">
          <cell r="E185" t="str">
            <v xml:space="preserve">Re-profiled allowed revenue adjusted (excl. tax) - WWN - real </v>
          </cell>
          <cell r="F185">
            <v>0</v>
          </cell>
          <cell r="G185" t="str">
            <v>£m</v>
          </cell>
          <cell r="P185">
            <v>798.74508358535138</v>
          </cell>
        </row>
        <row r="186">
          <cell r="E186" t="str">
            <v>Revenue requirement excluding tax charge - WWN - real</v>
          </cell>
          <cell r="F186">
            <v>0</v>
          </cell>
          <cell r="G186" t="str">
            <v>£m</v>
          </cell>
          <cell r="P186">
            <v>798.74508358535138</v>
          </cell>
        </row>
        <row r="193">
          <cell r="E193" t="str">
            <v>Revenue requirement with impact of reprofiling excl. tax charge - WWN - nominal</v>
          </cell>
          <cell r="G193" t="str">
            <v>£m</v>
          </cell>
          <cell r="P193">
            <v>916.69839884518296</v>
          </cell>
        </row>
        <row r="457">
          <cell r="E457" t="str">
            <v>Totex - net of grants and contributions - WWN (post sensi adj) - nominal</v>
          </cell>
          <cell r="G457" t="str">
            <v>£m</v>
          </cell>
          <cell r="P457">
            <v>855.60094786309423</v>
          </cell>
        </row>
        <row r="465">
          <cell r="E465" t="str">
            <v>PAYG% - wastewater network - active - WWN</v>
          </cell>
          <cell r="F465">
            <v>0</v>
          </cell>
          <cell r="G465" t="str">
            <v>%</v>
          </cell>
          <cell r="P465">
            <v>0.41067066495728044</v>
          </cell>
        </row>
        <row r="466">
          <cell r="E466" t="str">
            <v>Wastewater network: PAYG Totex - nominal</v>
          </cell>
          <cell r="G466" t="str">
            <v>£m</v>
          </cell>
          <cell r="P466">
            <v>351.37021019701632</v>
          </cell>
        </row>
        <row r="808">
          <cell r="E808" t="str">
            <v>RCV CPI(H) bf balance BEG - WWN - nominal</v>
          </cell>
          <cell r="G808" t="str">
            <v>£m</v>
          </cell>
          <cell r="P808">
            <v>2270.9554349450482</v>
          </cell>
        </row>
        <row r="809">
          <cell r="E809" t="str">
            <v>Indexation on RCV - CPI(H) bf balance - WWN - nominal</v>
          </cell>
          <cell r="F809">
            <v>0</v>
          </cell>
          <cell r="G809" t="str">
            <v>£m</v>
          </cell>
          <cell r="P809">
            <v>45.41910869890151</v>
          </cell>
        </row>
        <row r="810">
          <cell r="E810" t="str">
            <v>RCV - CPI(H) bf depreciation - WWN - nominal</v>
          </cell>
          <cell r="F810">
            <v>0</v>
          </cell>
          <cell r="G810" t="str">
            <v>£m</v>
          </cell>
          <cell r="P810">
            <v>123.24868694881808</v>
          </cell>
        </row>
        <row r="852">
          <cell r="E852" t="str">
            <v>WACC real on RCV - CPI(H) bf and additions - WWN</v>
          </cell>
          <cell r="G852" t="str">
            <v>%</v>
          </cell>
          <cell r="P852">
            <v>3.3039191176470473E-2</v>
          </cell>
        </row>
        <row r="859">
          <cell r="E859" t="str">
            <v>Average of RCV - CPI(H) bf - WWN - nominal</v>
          </cell>
          <cell r="G859" t="str">
            <v>£m</v>
          </cell>
          <cell r="P859">
            <v>2254.7502001695411</v>
          </cell>
        </row>
        <row r="863">
          <cell r="E863" t="str">
            <v>Return on RCV - CPI(H) bf - WWN - nominal</v>
          </cell>
          <cell r="G863" t="str">
            <v>£m</v>
          </cell>
          <cell r="P863">
            <v>74.495122918586532</v>
          </cell>
        </row>
        <row r="870">
          <cell r="E870" t="str">
            <v>Average of RCV - CPI(H) other adjustments balance - WWN - nominal</v>
          </cell>
          <cell r="G870" t="str">
            <v>£m</v>
          </cell>
          <cell r="P870">
            <v>0</v>
          </cell>
        </row>
        <row r="874">
          <cell r="E874" t="str">
            <v>Return on RCV - CPI(H) other adjustments - WWN - nominal</v>
          </cell>
          <cell r="G874" t="str">
            <v>£m</v>
          </cell>
          <cell r="P874">
            <v>0</v>
          </cell>
        </row>
        <row r="957">
          <cell r="E957" t="str">
            <v>RCV CPI(H) + RPI wedge bf balance BEG - WWN - nominal</v>
          </cell>
          <cell r="G957" t="str">
            <v>£m</v>
          </cell>
          <cell r="P957">
            <v>2379.7148043291063</v>
          </cell>
        </row>
        <row r="958">
          <cell r="E958" t="str">
            <v>Indexation on RCV - CPI(H) + RPI wedge bf balance - WWN - nominal</v>
          </cell>
          <cell r="F958">
            <v>0</v>
          </cell>
          <cell r="G958" t="str">
            <v>£m</v>
          </cell>
          <cell r="P958">
            <v>71.39144412987325</v>
          </cell>
        </row>
        <row r="959">
          <cell r="E959" t="str">
            <v>RCV - CPI(H) + RPI wedge bf depreciation - WWN - nominal</v>
          </cell>
          <cell r="F959">
            <v>0</v>
          </cell>
          <cell r="G959" t="str">
            <v>£m</v>
          </cell>
          <cell r="P959">
            <v>126.81014271560726</v>
          </cell>
        </row>
        <row r="972">
          <cell r="E972" t="str">
            <v>WACC on RCV - CPI(H) + RPI wedge bf and additions - WWN</v>
          </cell>
          <cell r="G972" t="str">
            <v>%</v>
          </cell>
          <cell r="P972">
            <v>2.3009684466019475E-2</v>
          </cell>
        </row>
        <row r="979">
          <cell r="E979" t="str">
            <v>Average of RCV - CPI(H) + RPI wedge bf - WWN - nominal</v>
          </cell>
          <cell r="G979" t="str">
            <v>£m</v>
          </cell>
          <cell r="P979">
            <v>2387.7011771011762</v>
          </cell>
        </row>
        <row r="983">
          <cell r="E983" t="str">
            <v>Return on RCV - CPI(H) + RPI wedge bf - WWN - nominal</v>
          </cell>
          <cell r="G983" t="str">
            <v>£m</v>
          </cell>
          <cell r="P983">
            <v>54.940250684241349</v>
          </cell>
        </row>
        <row r="1014">
          <cell r="E1014" t="str">
            <v>Indexation of RCV additions b/f - WWN - nominal</v>
          </cell>
          <cell r="F1014">
            <v>0</v>
          </cell>
          <cell r="G1014" t="str">
            <v>£m</v>
          </cell>
          <cell r="P1014">
            <v>39.901312876897187</v>
          </cell>
        </row>
        <row r="1019">
          <cell r="E1019" t="str">
            <v>Proportion of capex that is subject to depreciation in year of acquisition - RCV</v>
          </cell>
          <cell r="F1019">
            <v>0.5</v>
          </cell>
          <cell r="G1019" t="str">
            <v>%</v>
          </cell>
        </row>
        <row r="1020">
          <cell r="E1020" t="str">
            <v>Wastewater network: Non-PAYG Totex - nominal</v>
          </cell>
          <cell r="F1020">
            <v>0</v>
          </cell>
          <cell r="G1020" t="str">
            <v>£m</v>
          </cell>
          <cell r="P1020">
            <v>504.23073766607791</v>
          </cell>
        </row>
        <row r="1029">
          <cell r="E1029" t="str">
            <v>RCV run off rate  ~ CPI/CPI(H) linked RCV - Method used to apply run off rate (straight line or reducing balance) ~ wastewater network plus CPI(H) linked</v>
          </cell>
          <cell r="F1029" t="str">
            <v>Reducing balance</v>
          </cell>
          <cell r="G1029" t="str">
            <v>switch</v>
          </cell>
        </row>
        <row r="1042">
          <cell r="E1042" t="str">
            <v>RCV additions balance BEG - WWN - nominal</v>
          </cell>
          <cell r="G1042" t="str">
            <v>£m</v>
          </cell>
          <cell r="P1042">
            <v>1995.0656438448354</v>
          </cell>
        </row>
        <row r="1112">
          <cell r="E1112" t="str">
            <v>Average of RCV post 2020 additions - WWN - nominal</v>
          </cell>
          <cell r="G1112" t="str">
            <v>£m</v>
          </cell>
          <cell r="P1112">
            <v>2226.2372661186923</v>
          </cell>
        </row>
        <row r="1116">
          <cell r="E1116" t="str">
            <v>Return on RCV additions - WWN - nominal</v>
          </cell>
          <cell r="G1116" t="str">
            <v>£m</v>
          </cell>
          <cell r="P1116">
            <v>73.553078639478443</v>
          </cell>
        </row>
      </sheetData>
      <sheetData sheetId="34">
        <row r="42">
          <cell r="E42" t="str">
            <v>Third party &amp; principle service revenues - BR - real</v>
          </cell>
          <cell r="G42" t="str">
            <v>£m</v>
          </cell>
          <cell r="P42">
            <v>0</v>
          </cell>
        </row>
        <row r="52">
          <cell r="E52" t="str">
            <v>Total direct procurement from customers - infrastructure cost - BR - real</v>
          </cell>
          <cell r="G52" t="str">
            <v>£m</v>
          </cell>
          <cell r="P52">
            <v>0</v>
          </cell>
        </row>
        <row r="98">
          <cell r="E98" t="str">
            <v>Bio resources - End of Period ODIs (+ or -) Value Chosen - active - real</v>
          </cell>
          <cell r="F98">
            <v>0</v>
          </cell>
          <cell r="G98" t="str">
            <v>£m</v>
          </cell>
          <cell r="P98">
            <v>0</v>
          </cell>
        </row>
        <row r="99">
          <cell r="E99" t="str">
            <v>Bio resources - In period ODIs (+ or -) Value Chosen - active - real</v>
          </cell>
          <cell r="F99">
            <v>0</v>
          </cell>
          <cell r="G99" t="str">
            <v>£m</v>
          </cell>
          <cell r="P99">
            <v>0</v>
          </cell>
        </row>
        <row r="100">
          <cell r="E100" t="str">
            <v>Bio resources - Totex (+ or -) Value Chosen - active - adjusted - real</v>
          </cell>
          <cell r="F100">
            <v>0</v>
          </cell>
          <cell r="G100" t="str">
            <v>£m</v>
          </cell>
          <cell r="P100">
            <v>0</v>
          </cell>
        </row>
        <row r="101">
          <cell r="E101" t="str">
            <v>Bio resources - WRFIM (+ or -) Value Chosen - active - adjusted - real</v>
          </cell>
          <cell r="F101">
            <v>0</v>
          </cell>
          <cell r="G101" t="str">
            <v>£m</v>
          </cell>
          <cell r="P101">
            <v>0</v>
          </cell>
        </row>
        <row r="102">
          <cell r="E102" t="str">
            <v>Bio resources - Residential retail mechanism (+ or -) Value Chosen - active - real</v>
          </cell>
          <cell r="F102">
            <v>0</v>
          </cell>
          <cell r="G102" t="str">
            <v>£m</v>
          </cell>
          <cell r="P102">
            <v>0</v>
          </cell>
        </row>
        <row r="103">
          <cell r="E103" t="str">
            <v>Bio resources - Blind year (+ or -) Value Chosen - active - real</v>
          </cell>
          <cell r="F103">
            <v>0</v>
          </cell>
          <cell r="G103" t="str">
            <v>£m</v>
          </cell>
          <cell r="P103">
            <v>0</v>
          </cell>
        </row>
        <row r="104">
          <cell r="E104" t="str">
            <v>Bio resources - Water trading incentive (+ or -) Value Chosen - active - real</v>
          </cell>
          <cell r="F104">
            <v>0</v>
          </cell>
          <cell r="G104" t="str">
            <v>£m</v>
          </cell>
          <cell r="P104">
            <v>0</v>
          </cell>
        </row>
        <row r="112">
          <cell r="E112" t="str">
            <v>Wholesale Bio resources service defined benefit pension deficit recovery per IN13/17 - real</v>
          </cell>
          <cell r="F112">
            <v>0</v>
          </cell>
          <cell r="G112" t="str">
            <v>£m</v>
          </cell>
          <cell r="P112">
            <v>0</v>
          </cell>
        </row>
        <row r="185">
          <cell r="E185" t="str">
            <v xml:space="preserve">Re-profiled allowed revenue adjusted (excl. tax) - BR - real </v>
          </cell>
          <cell r="F185">
            <v>0</v>
          </cell>
          <cell r="G185" t="str">
            <v>£m</v>
          </cell>
          <cell r="P185">
            <v>185.23026912761048</v>
          </cell>
        </row>
        <row r="186">
          <cell r="E186" t="str">
            <v>Revenue requirement excluding tax charge - BR - real</v>
          </cell>
          <cell r="F186">
            <v>0</v>
          </cell>
          <cell r="G186" t="str">
            <v>£m</v>
          </cell>
          <cell r="P186">
            <v>185.23026912761048</v>
          </cell>
        </row>
        <row r="193">
          <cell r="E193" t="str">
            <v>Revenue requirement with impact of reprofiling excl. tax charge - BR - nominal</v>
          </cell>
          <cell r="G193" t="str">
            <v>£m</v>
          </cell>
          <cell r="P193">
            <v>212.58383258492825</v>
          </cell>
        </row>
        <row r="457">
          <cell r="E457" t="str">
            <v>Totex - net of grants and contributions - BR (post sensi adj) - nominal</v>
          </cell>
          <cell r="G457" t="str">
            <v>£m</v>
          </cell>
          <cell r="P457">
            <v>125.41159438266808</v>
          </cell>
        </row>
        <row r="465">
          <cell r="E465" t="str">
            <v>PAYG% - bio resources - active - BR</v>
          </cell>
          <cell r="F465">
            <v>0</v>
          </cell>
          <cell r="G465" t="str">
            <v>%</v>
          </cell>
          <cell r="P465">
            <v>0.43676135196830124</v>
          </cell>
        </row>
        <row r="466">
          <cell r="E466" t="str">
            <v>Bio resources: PAYG Totex - nominal</v>
          </cell>
          <cell r="G466" t="str">
            <v>£m</v>
          </cell>
          <cell r="P466">
            <v>54.774937515074328</v>
          </cell>
        </row>
        <row r="808">
          <cell r="E808" t="str">
            <v>RCV CPI(H) bf balance BEG - BR - nominal</v>
          </cell>
          <cell r="G808" t="str">
            <v>£m</v>
          </cell>
          <cell r="P808">
            <v>706.62296652750103</v>
          </cell>
        </row>
        <row r="809">
          <cell r="E809" t="str">
            <v>Indexation on RCV - CPI(H) bf balance - BR - nominal</v>
          </cell>
          <cell r="F809">
            <v>0</v>
          </cell>
          <cell r="G809" t="str">
            <v>£m</v>
          </cell>
          <cell r="P809">
            <v>14.132459330550191</v>
          </cell>
        </row>
        <row r="810">
          <cell r="E810" t="str">
            <v>RCV - CPI(H) bf depreciation - BR - nominal</v>
          </cell>
          <cell r="F810">
            <v>0</v>
          </cell>
          <cell r="G810" t="str">
            <v>£m</v>
          </cell>
          <cell r="P810">
            <v>37.214064020884216</v>
          </cell>
        </row>
        <row r="852">
          <cell r="E852" t="str">
            <v>WACC real on RCV - CPI(H) bf and additions - BR</v>
          </cell>
          <cell r="G852" t="str">
            <v>%</v>
          </cell>
          <cell r="P852">
            <v>3.3039191176470473E-2</v>
          </cell>
        </row>
        <row r="859">
          <cell r="E859" t="str">
            <v>Average of RCV - CPI(H) bf - BR - nominal</v>
          </cell>
          <cell r="G859" t="str">
            <v>£m</v>
          </cell>
          <cell r="P859">
            <v>702.14839384760921</v>
          </cell>
        </row>
        <row r="863">
          <cell r="E863" t="str">
            <v>Return on RCV - CPI(H) bf - BR - nominal</v>
          </cell>
          <cell r="G863" t="str">
            <v>£m</v>
          </cell>
          <cell r="P863">
            <v>23.198415018582846</v>
          </cell>
        </row>
        <row r="870">
          <cell r="E870" t="str">
            <v>Average of RCV - CPI(H) other adjustments balance - BR - nominal</v>
          </cell>
          <cell r="G870" t="str">
            <v>£m</v>
          </cell>
          <cell r="P870">
            <v>0</v>
          </cell>
        </row>
        <row r="874">
          <cell r="E874" t="str">
            <v>Return on RCV - CPI(H) other adjustments - BR - nominal</v>
          </cell>
          <cell r="G874" t="str">
            <v>£m</v>
          </cell>
          <cell r="P874">
            <v>0</v>
          </cell>
        </row>
        <row r="957">
          <cell r="E957" t="str">
            <v>RCV CPI(H) + RPI wedge bf balance BEG - BR - nominal</v>
          </cell>
          <cell r="G957" t="str">
            <v>£m</v>
          </cell>
          <cell r="P957">
            <v>735.35148300595529</v>
          </cell>
        </row>
        <row r="958">
          <cell r="E958" t="str">
            <v>Indexation on RCV - CPI(H) + RPI wedge bf balance - BR - nominal</v>
          </cell>
          <cell r="F958">
            <v>0</v>
          </cell>
          <cell r="G958" t="str">
            <v>£m</v>
          </cell>
          <cell r="P958">
            <v>22.060544490178678</v>
          </cell>
        </row>
        <row r="959">
          <cell r="E959" t="str">
            <v>RCV - CPI(H) + RPI wedge bf depreciation - BR - nominal</v>
          </cell>
          <cell r="F959">
            <v>0</v>
          </cell>
          <cell r="G959" t="str">
            <v>£m</v>
          </cell>
          <cell r="P959">
            <v>39.10671868737343</v>
          </cell>
        </row>
        <row r="972">
          <cell r="E972" t="str">
            <v>WACC on RCV - CPI(H) + RPI wedge bf and additions - BR</v>
          </cell>
          <cell r="G972" t="str">
            <v>%</v>
          </cell>
          <cell r="P972">
            <v>2.3009684466019475E-2</v>
          </cell>
        </row>
        <row r="979">
          <cell r="E979" t="str">
            <v>Average of RCV - CPI(H) + RPI wedge bf - BR - nominal</v>
          </cell>
          <cell r="G979" t="str">
            <v>£m</v>
          </cell>
          <cell r="P979">
            <v>737.85866815244731</v>
          </cell>
        </row>
        <row r="983">
          <cell r="E983" t="str">
            <v>Return on RCV - CPI(H) + RPI wedge bf - BR - nominal</v>
          </cell>
          <cell r="G983" t="str">
            <v>£m</v>
          </cell>
          <cell r="P983">
            <v>16.977895134705186</v>
          </cell>
        </row>
        <row r="1014">
          <cell r="E1014" t="str">
            <v>Indexation of RCV additions b/f - BR - nominal</v>
          </cell>
          <cell r="F1014">
            <v>0</v>
          </cell>
          <cell r="G1014" t="str">
            <v>£m</v>
          </cell>
          <cell r="P1014">
            <v>6.848236152674672</v>
          </cell>
        </row>
        <row r="1019">
          <cell r="E1019" t="str">
            <v>Proportion of capex that is subject to depreciation in year of acquisition - RCV</v>
          </cell>
          <cell r="F1019">
            <v>0.5</v>
          </cell>
          <cell r="G1019" t="str">
            <v>%</v>
          </cell>
        </row>
        <row r="1020">
          <cell r="E1020" t="str">
            <v>Bio resources: Non-PAYG Totex - nominal</v>
          </cell>
          <cell r="F1020">
            <v>0</v>
          </cell>
          <cell r="G1020" t="str">
            <v>£m</v>
          </cell>
          <cell r="P1020">
            <v>70.636656867593757</v>
          </cell>
        </row>
        <row r="1029">
          <cell r="E1029" t="str">
            <v>Post 2020 investment run off rate  - Method used to apply run off rate (straight line or reducing balance) ~ bioresources</v>
          </cell>
          <cell r="F1029" t="str">
            <v>Reducing balance</v>
          </cell>
          <cell r="G1029" t="str">
            <v>switch</v>
          </cell>
        </row>
        <row r="1042">
          <cell r="E1042" t="str">
            <v>RCV additions balance BEG - BR - nominal</v>
          </cell>
          <cell r="G1042" t="str">
            <v>£m</v>
          </cell>
          <cell r="P1042">
            <v>342.4118076337295</v>
          </cell>
        </row>
        <row r="1112">
          <cell r="E1112" t="str">
            <v>Average of RCV post 2020 additions - BR - nominal</v>
          </cell>
          <cell r="G1112" t="str">
            <v>£m</v>
          </cell>
          <cell r="P1112">
            <v>370.03530470311171</v>
          </cell>
        </row>
        <row r="1116">
          <cell r="E1116" t="str">
            <v>Return on RCV additions - BR - nominal</v>
          </cell>
          <cell r="G1116" t="str">
            <v>£m</v>
          </cell>
          <cell r="P1116">
            <v>12.225667174129612</v>
          </cell>
        </row>
      </sheetData>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ow r="158">
          <cell r="E158" t="str">
            <v>Water resources- residential apportionment CALC</v>
          </cell>
          <cell r="G158" t="str">
            <v>%</v>
          </cell>
          <cell r="P158">
            <v>0.76659171210588117</v>
          </cell>
        </row>
        <row r="255">
          <cell r="E255" t="str">
            <v xml:space="preserve">Tax WR - real </v>
          </cell>
          <cell r="G255" t="str">
            <v>£m</v>
          </cell>
          <cell r="P255">
            <v>0</v>
          </cell>
        </row>
        <row r="350">
          <cell r="E350" t="str">
            <v>Water network - residential apportionment CALC</v>
          </cell>
          <cell r="G350" t="str">
            <v>%</v>
          </cell>
          <cell r="P350">
            <v>0.75766011799333921</v>
          </cell>
        </row>
        <row r="445">
          <cell r="E445" t="str">
            <v xml:space="preserve">Tax WN - real </v>
          </cell>
          <cell r="G445" t="str">
            <v>£m</v>
          </cell>
          <cell r="P445">
            <v>0</v>
          </cell>
        </row>
        <row r="575">
          <cell r="E575" t="str">
            <v>Wastewater network - residential apportionment CALC</v>
          </cell>
          <cell r="G575" t="str">
            <v>%</v>
          </cell>
          <cell r="P575">
            <v>0.80469926661052749</v>
          </cell>
        </row>
        <row r="673">
          <cell r="E673" t="str">
            <v>Tax WWN - real</v>
          </cell>
          <cell r="G673" t="str">
            <v>£m</v>
          </cell>
          <cell r="P673">
            <v>2.3338537310744352</v>
          </cell>
        </row>
        <row r="749">
          <cell r="E749" t="str">
            <v>Bio resources - residential apportionment CALC</v>
          </cell>
          <cell r="G749" t="str">
            <v>%</v>
          </cell>
          <cell r="P749">
            <v>0.80469926661052749</v>
          </cell>
        </row>
        <row r="846">
          <cell r="E846" t="str">
            <v>Tax BR - real</v>
          </cell>
          <cell r="G846" t="str">
            <v>£m</v>
          </cell>
          <cell r="P846">
            <v>5.1686282797765708</v>
          </cell>
        </row>
        <row r="953">
          <cell r="E953" t="str">
            <v>Wholesale dummy control allowed revenue (excluding capital connection charges, other income and operating income) per residential customer  - real</v>
          </cell>
          <cell r="G953" t="str">
            <v>£</v>
          </cell>
          <cell r="P953">
            <v>19.273667616668259</v>
          </cell>
        </row>
        <row r="1116">
          <cell r="E1116" t="str">
            <v>Retail allowed revenue per customer: single service - real</v>
          </cell>
          <cell r="G1116" t="str">
            <v>£</v>
          </cell>
          <cell r="P1116">
            <v>14.736192203084999</v>
          </cell>
        </row>
        <row r="1121">
          <cell r="E1121" t="str">
            <v>Retail allowed revenue per customer: joint service - real</v>
          </cell>
          <cell r="G1121" t="str">
            <v>£</v>
          </cell>
          <cell r="P1121">
            <v>29.511196849599258</v>
          </cell>
        </row>
        <row r="1163">
          <cell r="E1163" t="str">
            <v>WoC average bill - real</v>
          </cell>
          <cell r="G1163" t="str">
            <v>£</v>
          </cell>
          <cell r="P1163">
            <v>0</v>
          </cell>
        </row>
        <row r="1176">
          <cell r="P1176">
            <v>36.38014759569726</v>
          </cell>
        </row>
        <row r="1177">
          <cell r="E1177" t="str">
            <v>WaSC average bill - real</v>
          </cell>
          <cell r="G1177" t="str">
            <v>£</v>
          </cell>
          <cell r="P1177">
            <v>391.23807516404889</v>
          </cell>
        </row>
      </sheetData>
      <sheetData sheetId="59"/>
      <sheetData sheetId="60"/>
      <sheetData sheetId="61"/>
      <sheetData sheetId="62"/>
      <sheetData sheetId="63"/>
      <sheetData sheetId="64"/>
      <sheetData sheetId="6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Cover"/>
      <sheetName val="Version Control"/>
      <sheetName val="Adjustments log"/>
      <sheetName val="Map"/>
      <sheetName val="Key"/>
      <sheetName val="Dashboard"/>
      <sheetName val="Data &gt;"/>
      <sheetName val="F_Inputs"/>
      <sheetName val="F_Inputs Copy"/>
      <sheetName val="Input Copy"/>
      <sheetName val="Adjustments"/>
      <sheetName val="Input Real"/>
      <sheetName val="Input Nominal"/>
      <sheetName val="RPI"/>
      <sheetName val="Wholesale &gt;"/>
      <sheetName val="Water Nominal"/>
      <sheetName val="Wastewater Nominal"/>
      <sheetName val="Wholesale Nominal"/>
      <sheetName val="Water Real AR"/>
      <sheetName val="Waste Real AR"/>
      <sheetName val="Retail &gt;"/>
      <sheetName val="Calc HH"/>
      <sheetName val="Calc NHH"/>
      <sheetName val="HH Fin Stats"/>
      <sheetName val="NHH Fin Stats"/>
      <sheetName val="Retail Fin Stats"/>
      <sheetName val="Retail Phase Outputs"/>
      <sheetName val="Appointee &gt;"/>
      <sheetName val="Report Formats"/>
      <sheetName val="Appointee Nominal"/>
      <sheetName val="Reports Start"/>
      <sheetName val="Exec Summary"/>
      <sheetName val="Price Limits HH"/>
      <sheetName val="Price Limits NHH"/>
      <sheetName val="Headroom Check"/>
      <sheetName val="Appointee Fin Stats"/>
      <sheetName val="Tax Reconciliation"/>
      <sheetName val="F_Outputs"/>
      <sheetName val="Error Checks"/>
      <sheetName val="RPO Checks"/>
      <sheetName val="Index linked debt mac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82">
          <cell r="E82" t="str">
            <v>RCV as at 2015</v>
          </cell>
        </row>
        <row r="234">
          <cell r="N234">
            <v>-0.35128356969120045</v>
          </cell>
        </row>
      </sheetData>
      <sheetData sheetId="19" refreshError="1">
        <row r="82">
          <cell r="E82" t="str">
            <v>RCV as at 2015</v>
          </cell>
        </row>
        <row r="234">
          <cell r="N234">
            <v>-0.2654151239311302</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pr19@ofwat.gsi.gov.uk" TargetMode="External"/><Relationship Id="rId2" Type="http://schemas.openxmlformats.org/officeDocument/2006/relationships/hyperlink" Target="mailto:pr19@ofwat.gsi.gov.uk" TargetMode="External"/><Relationship Id="rId1" Type="http://schemas.openxmlformats.org/officeDocument/2006/relationships/hyperlink" Target="mailto:financial.modelling@ofwat.gsi.gov.uk"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ofwat.gov.uk/publication/company-business-plan-presentation-pro-forma/"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2664"/>
    <pageSetUpPr fitToPage="1"/>
  </sheetPr>
  <dimension ref="A1:I44"/>
  <sheetViews>
    <sheetView showGridLines="0" showRuler="0" zoomScale="80" zoomScaleNormal="80" workbookViewId="0"/>
  </sheetViews>
  <sheetFormatPr defaultColWidth="0" defaultRowHeight="0" customHeight="1" zeroHeight="1"/>
  <cols>
    <col min="1" max="2" width="1.21875" style="266" customWidth="1"/>
    <col min="3" max="3" width="32.77734375" style="267" customWidth="1"/>
    <col min="4" max="4" width="15.77734375" style="266" customWidth="1"/>
    <col min="5" max="5" width="27.44140625" style="266" customWidth="1"/>
    <col min="6" max="6" width="78.77734375" style="266" customWidth="1"/>
    <col min="7" max="7" width="50.77734375" style="266" customWidth="1"/>
    <col min="8" max="8" width="1.21875" style="266" customWidth="1"/>
    <col min="9" max="9" width="1.21875" style="266" hidden="1" customWidth="1"/>
    <col min="10" max="16384" width="9.21875" style="268" hidden="1"/>
  </cols>
  <sheetData>
    <row r="1" spans="1:9" s="235" customFormat="1" ht="28.8" thickBot="1">
      <c r="A1" s="233" t="str">
        <f ca="1" xml:space="preserve"> RIGHT(CELL("filename", $A$1), LEN(CELL("filename", $A$1)) - SEARCH("]", CELL("filename", $A$1)))</f>
        <v>Cover</v>
      </c>
      <c r="B1" s="233"/>
      <c r="C1" s="234"/>
      <c r="D1" s="233"/>
      <c r="E1" s="233"/>
      <c r="F1" s="233"/>
      <c r="G1" s="233"/>
      <c r="H1" s="233"/>
      <c r="I1" s="233"/>
    </row>
    <row r="2" spans="1:9" s="239" customFormat="1" ht="5.0999999999999996" customHeight="1">
      <c r="A2" s="236"/>
      <c r="B2" s="236"/>
      <c r="C2" s="237"/>
      <c r="D2" s="236"/>
      <c r="E2" s="236"/>
      <c r="F2" s="236"/>
      <c r="G2" s="238"/>
      <c r="H2" s="238"/>
      <c r="I2" s="238"/>
    </row>
    <row r="3" spans="1:9" s="243" customFormat="1" ht="18" customHeight="1">
      <c r="A3" s="240"/>
      <c r="B3" s="240"/>
      <c r="C3" s="241" t="s">
        <v>91</v>
      </c>
      <c r="D3" s="269" t="s">
        <v>110</v>
      </c>
      <c r="E3" s="242"/>
      <c r="F3" s="240"/>
    </row>
    <row r="4" spans="1:9" s="239" customFormat="1" ht="18" customHeight="1">
      <c r="A4" s="242"/>
      <c r="B4" s="242"/>
      <c r="C4" s="241" t="s">
        <v>92</v>
      </c>
      <c r="D4" s="242" t="str">
        <f ca="1" xml:space="preserve"> LEFT(D5, FIND(".", D5, 1) - 1)</f>
        <v>bill-waterfall-model-april-2019</v>
      </c>
      <c r="E4" s="242"/>
      <c r="F4" s="242"/>
    </row>
    <row r="5" spans="1:9" s="239" customFormat="1" ht="18" customHeight="1">
      <c r="A5" s="242"/>
      <c r="B5" s="242"/>
      <c r="C5" s="241" t="s">
        <v>93</v>
      </c>
      <c r="D5" s="242" t="str">
        <f ca="1" xml:space="preserve"> MID(CELL("filename"), FIND("[", CELL("filename"), 1) + 1, FIND("]", CELL("filename"), 1) - FIND("[", CELL("filename"), 1) - 1)</f>
        <v>bill-waterfall-model-april-2019.xlsx</v>
      </c>
      <c r="E5" s="242"/>
      <c r="F5" s="242"/>
    </row>
    <row r="6" spans="1:9" s="239" customFormat="1" ht="18" customHeight="1">
      <c r="A6" s="242"/>
      <c r="B6" s="242"/>
      <c r="C6" s="241" t="s">
        <v>94</v>
      </c>
      <c r="D6" s="244">
        <v>43493</v>
      </c>
      <c r="E6" s="242"/>
      <c r="F6" s="242"/>
    </row>
    <row r="7" spans="1:9" s="239" customFormat="1" ht="18" customHeight="1">
      <c r="A7" s="242"/>
      <c r="B7" s="242"/>
      <c r="C7" s="241" t="s">
        <v>95</v>
      </c>
      <c r="D7" s="242" t="s">
        <v>109</v>
      </c>
      <c r="E7" s="242"/>
      <c r="F7" s="242"/>
    </row>
    <row r="8" spans="1:9" s="239" customFormat="1" ht="18" customHeight="1">
      <c r="A8" s="242"/>
      <c r="B8" s="242"/>
      <c r="C8" s="241" t="s">
        <v>96</v>
      </c>
      <c r="D8" s="800" t="s">
        <v>583</v>
      </c>
      <c r="E8" s="800"/>
      <c r="F8" s="242"/>
    </row>
    <row r="9" spans="1:9" s="239" customFormat="1" ht="5.0999999999999996" customHeight="1">
      <c r="A9" s="245"/>
      <c r="B9" s="245"/>
      <c r="C9" s="246"/>
      <c r="D9" s="245"/>
      <c r="E9" s="245"/>
      <c r="F9" s="245"/>
      <c r="G9" s="245"/>
      <c r="H9" s="245"/>
      <c r="I9" s="245"/>
    </row>
    <row r="10" spans="1:9" s="249" customFormat="1" ht="5.0999999999999996" customHeight="1">
      <c r="A10" s="247"/>
      <c r="B10" s="247"/>
      <c r="C10" s="248"/>
      <c r="D10" s="247"/>
      <c r="E10" s="247"/>
      <c r="F10" s="247"/>
      <c r="G10" s="247"/>
      <c r="H10" s="247"/>
      <c r="I10" s="247"/>
    </row>
    <row r="11" spans="1:9" s="249" customFormat="1" ht="18" customHeight="1">
      <c r="A11" s="247"/>
      <c r="B11" s="247"/>
      <c r="C11" s="248" t="s">
        <v>97</v>
      </c>
      <c r="D11" s="250" t="s">
        <v>114</v>
      </c>
      <c r="E11" s="250"/>
      <c r="F11" s="250"/>
      <c r="G11" s="250"/>
      <c r="H11" s="250"/>
      <c r="I11" s="250"/>
    </row>
    <row r="12" spans="1:9" s="249" customFormat="1" ht="18" customHeight="1">
      <c r="A12" s="247"/>
      <c r="B12" s="247"/>
      <c r="C12" s="248"/>
      <c r="D12" s="250" t="s">
        <v>113</v>
      </c>
      <c r="E12" s="250"/>
      <c r="F12" s="250"/>
      <c r="G12" s="250"/>
      <c r="H12" s="250"/>
      <c r="I12" s="250"/>
    </row>
    <row r="13" spans="1:9" s="249" customFormat="1" ht="18" customHeight="1">
      <c r="A13" s="247"/>
      <c r="B13" s="247"/>
      <c r="C13" s="248"/>
      <c r="D13" s="250" t="s">
        <v>653</v>
      </c>
      <c r="E13" s="250"/>
      <c r="F13" s="250"/>
      <c r="G13" s="250"/>
      <c r="H13" s="250"/>
      <c r="I13" s="250"/>
    </row>
    <row r="14" spans="1:9" s="249" customFormat="1" ht="18" customHeight="1">
      <c r="A14" s="247"/>
      <c r="B14" s="247"/>
      <c r="C14" s="248"/>
      <c r="D14" s="756" t="s">
        <v>654</v>
      </c>
      <c r="E14" s="757"/>
      <c r="F14" s="755" t="s">
        <v>655</v>
      </c>
      <c r="G14" s="250"/>
      <c r="H14" s="250"/>
      <c r="I14" s="250"/>
    </row>
    <row r="15" spans="1:9" s="249" customFormat="1" ht="12.75" customHeight="1">
      <c r="A15" s="247"/>
      <c r="B15" s="247"/>
      <c r="C15" s="248"/>
      <c r="D15" s="250"/>
      <c r="E15" s="250"/>
      <c r="F15" s="250"/>
      <c r="G15" s="250"/>
      <c r="H15" s="250"/>
      <c r="I15" s="250"/>
    </row>
    <row r="16" spans="1:9" s="249" customFormat="1" ht="18" customHeight="1">
      <c r="A16" s="247"/>
      <c r="B16" s="247"/>
      <c r="C16" s="248" t="s">
        <v>98</v>
      </c>
      <c r="D16" s="251" t="s">
        <v>659</v>
      </c>
      <c r="E16" s="251"/>
      <c r="F16" s="251"/>
      <c r="G16" s="251"/>
      <c r="H16" s="251"/>
      <c r="I16" s="251"/>
    </row>
    <row r="17" spans="1:9" s="249" customFormat="1" ht="5.0999999999999996" customHeight="1">
      <c r="A17" s="247"/>
      <c r="B17" s="247"/>
      <c r="C17" s="248"/>
      <c r="D17" s="251"/>
      <c r="E17" s="251"/>
      <c r="F17" s="251"/>
      <c r="G17" s="251"/>
      <c r="H17" s="251"/>
      <c r="I17" s="251"/>
    </row>
    <row r="18" spans="1:9" s="249" customFormat="1" ht="18" customHeight="1">
      <c r="A18" s="247"/>
      <c r="B18" s="247"/>
      <c r="C18" s="248"/>
      <c r="D18" s="252" t="s">
        <v>99</v>
      </c>
      <c r="E18" s="253"/>
      <c r="F18" s="254" t="s">
        <v>100</v>
      </c>
      <c r="G18" s="254" t="s">
        <v>101</v>
      </c>
      <c r="H18" s="250"/>
      <c r="I18" s="250"/>
    </row>
    <row r="19" spans="1:9" s="258" customFormat="1" ht="93.6" customHeight="1">
      <c r="A19" s="255"/>
      <c r="B19" s="255"/>
      <c r="C19" s="256"/>
      <c r="D19" s="801" t="s">
        <v>601</v>
      </c>
      <c r="E19" s="801"/>
      <c r="F19" s="689" t="s">
        <v>617</v>
      </c>
      <c r="G19" s="706" t="s">
        <v>616</v>
      </c>
      <c r="H19" s="257"/>
      <c r="I19" s="257"/>
    </row>
    <row r="20" spans="1:9" s="249" customFormat="1" ht="5.0999999999999996" customHeight="1">
      <c r="A20" s="247"/>
      <c r="B20" s="247"/>
      <c r="C20" s="248"/>
      <c r="D20" s="250"/>
      <c r="E20" s="250"/>
      <c r="F20" s="250"/>
      <c r="G20" s="250"/>
      <c r="H20" s="250"/>
      <c r="I20" s="250"/>
    </row>
    <row r="21" spans="1:9" s="249" customFormat="1" ht="18" customHeight="1">
      <c r="A21" s="247"/>
      <c r="B21" s="247"/>
      <c r="C21" s="248"/>
      <c r="D21" s="250" t="s">
        <v>102</v>
      </c>
      <c r="E21" s="250"/>
      <c r="F21" s="250"/>
      <c r="G21" s="250"/>
      <c r="H21" s="250"/>
      <c r="I21" s="250"/>
    </row>
    <row r="22" spans="1:9" s="249" customFormat="1" ht="18" customHeight="1">
      <c r="A22" s="247"/>
      <c r="B22" s="247"/>
      <c r="C22" s="248"/>
      <c r="D22" s="250" t="s">
        <v>111</v>
      </c>
      <c r="E22" s="250"/>
      <c r="F22" s="250"/>
      <c r="G22" s="250"/>
      <c r="H22" s="250"/>
      <c r="I22" s="250"/>
    </row>
    <row r="23" spans="1:9" s="249" customFormat="1" ht="18" customHeight="1">
      <c r="A23" s="247"/>
      <c r="B23" s="247"/>
      <c r="C23" s="248"/>
      <c r="D23" s="250" t="s">
        <v>103</v>
      </c>
      <c r="E23" s="250"/>
      <c r="F23" s="250"/>
      <c r="G23" s="250"/>
      <c r="H23" s="250"/>
      <c r="I23" s="250"/>
    </row>
    <row r="24" spans="1:9" s="249" customFormat="1" ht="12.75" customHeight="1">
      <c r="A24" s="247"/>
      <c r="B24" s="247"/>
      <c r="C24" s="248"/>
      <c r="D24" s="250"/>
      <c r="E24" s="250"/>
      <c r="F24" s="250"/>
      <c r="G24" s="250"/>
      <c r="H24" s="250"/>
      <c r="I24" s="250"/>
    </row>
    <row r="25" spans="1:9" s="249" customFormat="1" ht="16.2" customHeight="1">
      <c r="A25" s="247"/>
      <c r="B25" s="247"/>
      <c r="C25" s="248" t="s">
        <v>104</v>
      </c>
      <c r="D25" s="250" t="s">
        <v>112</v>
      </c>
      <c r="E25" s="250"/>
      <c r="F25" s="250"/>
      <c r="G25" s="250"/>
      <c r="H25" s="250"/>
      <c r="I25" s="250"/>
    </row>
    <row r="26" spans="1:9" s="249" customFormat="1" ht="18" customHeight="1">
      <c r="A26" s="247"/>
      <c r="B26" s="247"/>
      <c r="C26" s="248"/>
      <c r="D26" s="685" t="s">
        <v>583</v>
      </c>
      <c r="E26" s="250"/>
      <c r="F26" s="250"/>
      <c r="G26" s="250"/>
      <c r="H26" s="250"/>
      <c r="I26" s="250"/>
    </row>
    <row r="27" spans="1:9" s="249" customFormat="1" ht="12.75" customHeight="1">
      <c r="A27" s="247"/>
      <c r="B27" s="247"/>
      <c r="C27" s="248"/>
      <c r="D27" s="250"/>
      <c r="E27" s="250"/>
      <c r="F27" s="250"/>
      <c r="G27" s="250"/>
      <c r="H27" s="250"/>
      <c r="I27" s="250"/>
    </row>
    <row r="28" spans="1:9" s="249" customFormat="1" ht="12.75" customHeight="1">
      <c r="A28" s="247"/>
      <c r="B28" s="247"/>
      <c r="C28" s="248" t="s">
        <v>105</v>
      </c>
      <c r="D28" s="259">
        <f>Check!$F$2</f>
        <v>0</v>
      </c>
      <c r="E28" s="260" t="str">
        <f xml:space="preserve"> IF(D28 = 0, "No error checks", "Error checks active")</f>
        <v>No error checks</v>
      </c>
      <c r="F28" s="250"/>
      <c r="G28" s="250"/>
      <c r="H28" s="250"/>
      <c r="I28" s="250"/>
    </row>
    <row r="29" spans="1:9" s="249" customFormat="1" ht="12.75" customHeight="1">
      <c r="A29" s="247"/>
      <c r="B29" s="247"/>
      <c r="C29" s="248"/>
      <c r="D29" s="261">
        <f>Check!$F$3</f>
        <v>93</v>
      </c>
      <c r="E29" s="260" t="str">
        <f xml:space="preserve"> IF(D29 = 0, "No output changes", "Output changes")</f>
        <v>Output changes</v>
      </c>
      <c r="F29" s="250"/>
      <c r="G29" s="250"/>
      <c r="H29" s="250"/>
      <c r="I29" s="250"/>
    </row>
    <row r="30" spans="1:9" s="249" customFormat="1" ht="18" customHeight="1">
      <c r="A30" s="247"/>
      <c r="B30" s="247"/>
      <c r="C30" s="248"/>
      <c r="D30" s="250"/>
      <c r="E30" s="250"/>
      <c r="F30" s="250"/>
      <c r="G30" s="250"/>
      <c r="H30" s="250"/>
      <c r="I30" s="250"/>
    </row>
    <row r="31" spans="1:9" s="249" customFormat="1" ht="18" customHeight="1">
      <c r="A31" s="247"/>
      <c r="B31" s="247"/>
      <c r="C31" s="248" t="s">
        <v>106</v>
      </c>
      <c r="D31" s="250" t="s">
        <v>107</v>
      </c>
      <c r="E31" s="250"/>
      <c r="F31" s="250"/>
      <c r="G31" s="250"/>
      <c r="H31" s="250"/>
      <c r="I31" s="250"/>
    </row>
    <row r="32" spans="1:9" s="249" customFormat="1" ht="18" customHeight="1">
      <c r="A32" s="247"/>
      <c r="B32" s="247"/>
      <c r="C32" s="248"/>
      <c r="D32" s="250" t="s">
        <v>108</v>
      </c>
      <c r="E32" s="417" t="s">
        <v>292</v>
      </c>
      <c r="F32" s="250"/>
      <c r="G32" s="250"/>
      <c r="H32" s="250"/>
      <c r="I32" s="250"/>
    </row>
    <row r="33" spans="1:9" s="249" customFormat="1" ht="18" customHeight="1">
      <c r="A33" s="247"/>
      <c r="B33" s="247"/>
      <c r="C33" s="248"/>
      <c r="D33" s="250"/>
      <c r="E33" s="417"/>
      <c r="F33" s="250"/>
      <c r="G33" s="250"/>
      <c r="H33" s="250"/>
      <c r="I33" s="250"/>
    </row>
    <row r="34" spans="1:9" s="249" customFormat="1" ht="18" customHeight="1">
      <c r="A34" s="247"/>
      <c r="B34" s="247"/>
      <c r="C34" s="248" t="s">
        <v>660</v>
      </c>
      <c r="D34" s="251"/>
      <c r="E34" s="251"/>
      <c r="F34" s="251"/>
      <c r="G34" s="251"/>
      <c r="H34" s="251"/>
      <c r="I34" s="251"/>
    </row>
    <row r="35" spans="1:9" s="249" customFormat="1" ht="18" customHeight="1">
      <c r="A35" s="247"/>
      <c r="B35" s="247"/>
      <c r="C35" s="248"/>
      <c r="D35" s="252" t="s">
        <v>661</v>
      </c>
      <c r="E35" s="253"/>
      <c r="F35" s="254" t="s">
        <v>100</v>
      </c>
      <c r="G35" s="254" t="s">
        <v>101</v>
      </c>
      <c r="H35" s="250"/>
      <c r="I35" s="250"/>
    </row>
    <row r="36" spans="1:9" s="249" customFormat="1" ht="47.55" customHeight="1">
      <c r="A36" s="247"/>
      <c r="B36" s="247"/>
      <c r="C36" s="248"/>
      <c r="D36" s="802" t="s">
        <v>662</v>
      </c>
      <c r="E36" s="802"/>
      <c r="F36" s="689" t="s">
        <v>663</v>
      </c>
      <c r="G36" s="706" t="s">
        <v>664</v>
      </c>
      <c r="H36" s="250"/>
      <c r="I36" s="250"/>
    </row>
    <row r="37" spans="1:9" s="249" customFormat="1" ht="47.55" customHeight="1">
      <c r="A37" s="247"/>
      <c r="B37" s="247"/>
      <c r="C37" s="248"/>
      <c r="D37" s="802" t="s">
        <v>665</v>
      </c>
      <c r="E37" s="802"/>
      <c r="F37" s="689" t="s">
        <v>663</v>
      </c>
      <c r="G37" s="706" t="s">
        <v>666</v>
      </c>
      <c r="H37" s="250"/>
      <c r="I37" s="250"/>
    </row>
    <row r="38" spans="1:9" s="249" customFormat="1" ht="47.55" customHeight="1">
      <c r="A38" s="247"/>
      <c r="B38" s="247"/>
      <c r="C38" s="248"/>
      <c r="D38" s="798" t="s">
        <v>667</v>
      </c>
      <c r="E38" s="798"/>
      <c r="F38" s="761" t="s">
        <v>668</v>
      </c>
      <c r="G38" s="706" t="s">
        <v>669</v>
      </c>
      <c r="H38" s="250"/>
      <c r="I38" s="250"/>
    </row>
    <row r="39" spans="1:9" s="249" customFormat="1" ht="47.55" customHeight="1">
      <c r="A39" s="247"/>
      <c r="B39" s="247"/>
      <c r="C39" s="248"/>
      <c r="D39" s="799" t="s">
        <v>673</v>
      </c>
      <c r="E39" s="799"/>
      <c r="F39" s="761" t="s">
        <v>671</v>
      </c>
      <c r="G39" s="762" t="str">
        <f>InpAct!D13</f>
        <v>PR19</v>
      </c>
      <c r="H39" s="250"/>
      <c r="I39" s="250"/>
    </row>
    <row r="40" spans="1:9" s="249" customFormat="1" ht="113.4">
      <c r="A40" s="247"/>
      <c r="B40" s="247"/>
      <c r="C40" s="248"/>
      <c r="D40" s="798" t="s">
        <v>670</v>
      </c>
      <c r="E40" s="798"/>
      <c r="F40" s="761" t="s">
        <v>672</v>
      </c>
      <c r="G40" s="762" t="str">
        <f>Summary_Calc!$E$42</f>
        <v>Change in retail CTS</v>
      </c>
      <c r="H40" s="250"/>
      <c r="I40" s="250"/>
    </row>
    <row r="41" spans="1:9" s="249" customFormat="1" ht="18" customHeight="1">
      <c r="A41" s="247"/>
      <c r="B41" s="247"/>
      <c r="C41" s="248"/>
      <c r="D41" s="250"/>
      <c r="E41" s="417"/>
      <c r="F41" s="250"/>
      <c r="G41" s="250"/>
      <c r="H41" s="250"/>
      <c r="I41" s="250"/>
    </row>
    <row r="42" spans="1:9" s="249" customFormat="1" ht="18" customHeight="1">
      <c r="A42" s="247"/>
      <c r="B42" s="247"/>
      <c r="C42" s="248"/>
      <c r="D42" s="250"/>
      <c r="E42" s="417"/>
      <c r="F42" s="250"/>
      <c r="G42" s="250"/>
      <c r="H42" s="250"/>
      <c r="I42" s="250"/>
    </row>
    <row r="43" spans="1:9" s="249" customFormat="1" ht="5.0999999999999996" customHeight="1">
      <c r="A43" s="247"/>
      <c r="B43" s="247"/>
      <c r="C43" s="248"/>
      <c r="D43" s="247"/>
      <c r="E43" s="247"/>
      <c r="F43" s="247"/>
      <c r="G43" s="247"/>
      <c r="H43" s="247"/>
      <c r="I43" s="247"/>
    </row>
    <row r="44" spans="1:9" s="265" customFormat="1" ht="12.75" customHeight="1">
      <c r="A44" s="262" t="s">
        <v>6</v>
      </c>
      <c r="B44" s="263"/>
      <c r="C44" s="264"/>
      <c r="D44" s="263"/>
      <c r="E44" s="263"/>
      <c r="F44" s="263"/>
      <c r="G44" s="263"/>
      <c r="H44" s="263"/>
      <c r="I44" s="263"/>
    </row>
  </sheetData>
  <mergeCells count="7">
    <mergeCell ref="D40:E40"/>
    <mergeCell ref="D39:E39"/>
    <mergeCell ref="D8:E8"/>
    <mergeCell ref="D19:E19"/>
    <mergeCell ref="D36:E36"/>
    <mergeCell ref="D37:E37"/>
    <mergeCell ref="D38:E38"/>
  </mergeCells>
  <conditionalFormatting sqref="D28">
    <cfRule type="cellIs" dxfId="75" priority="5" stopIfTrue="1" operator="notEqual">
      <formula>0</formula>
    </cfRule>
    <cfRule type="cellIs" dxfId="74" priority="6" stopIfTrue="1" operator="equal">
      <formula>""</formula>
    </cfRule>
  </conditionalFormatting>
  <conditionalFormatting sqref="D29">
    <cfRule type="cellIs" dxfId="73" priority="1" stopIfTrue="1" operator="notEqual">
      <formula>0</formula>
    </cfRule>
    <cfRule type="cellIs" dxfId="72" priority="2" stopIfTrue="1" operator="equal">
      <formula>""</formula>
    </cfRule>
  </conditionalFormatting>
  <hyperlinks>
    <hyperlink ref="E32" location="'User Guide'!A1" display="Create Link" xr:uid="{00000000-0004-0000-0000-000000000000}"/>
    <hyperlink ref="D8" r:id="rId1" display="financial.modelling@ofwat.gsi.gov.uk" xr:uid="{00000000-0004-0000-0000-000001000000}"/>
    <hyperlink ref="D8:E8" r:id="rId2" display="pr19@ofwat.gsi.gov.uk" xr:uid="{00000000-0004-0000-0000-000002000000}"/>
    <hyperlink ref="D26" r:id="rId3" xr:uid="{00000000-0004-0000-0000-000003000000}"/>
    <hyperlink ref="G19" location="InpAct!I10" display="Override column" xr:uid="{00000000-0004-0000-0000-000004000000}"/>
    <hyperlink ref="F14" r:id="rId4" xr:uid="{00000000-0004-0000-0000-000005000000}"/>
    <hyperlink ref="G36" location="RCV!H248" display="WWN RCV additions plus indexation" xr:uid="{00000000-0004-0000-0000-000006000000}"/>
    <hyperlink ref="G37" location="RCV!H298" display="BR RCV additions plus indexation" xr:uid="{00000000-0004-0000-0000-000007000000}"/>
    <hyperlink ref="G38" location="RCV!H210" display="RCV Additions: Average Asset Life - Wastewater" xr:uid="{00000000-0004-0000-0000-000008000000}"/>
  </hyperlinks>
  <printOptions headings="1"/>
  <pageMargins left="0.70866141732283472" right="0.70866141732283472" top="0.74803149606299213" bottom="0.74803149606299213" header="0.31496062992125984" footer="0.31496062992125984"/>
  <pageSetup paperSize="9" scale="48" orientation="landscape" r:id="rId5"/>
  <headerFooter>
    <oddHeader>&amp;LPage &amp;P of &amp;N&amp;CSheet: &amp;A</oddHeader>
    <oddFooter>&amp;L&amp;F ( Printed on &amp;D at &amp;T )&amp;ROFWAT</oddFooter>
  </headerFooter>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9">
    <outlinePr summaryBelow="0" summaryRight="0"/>
    <pageSetUpPr fitToPage="1"/>
  </sheetPr>
  <dimension ref="A1:U164"/>
  <sheetViews>
    <sheetView showGridLines="0" defaultGridColor="0" colorId="22" zoomScale="80" zoomScaleNormal="80" workbookViewId="0">
      <pane ySplit="5" topLeftCell="A6" activePane="bottomLeft" state="frozen"/>
      <selection pane="bottomLeft" activeCell="F22" sqref="F22"/>
    </sheetView>
  </sheetViews>
  <sheetFormatPr defaultColWidth="0" defaultRowHeight="13.2" outlineLevelRow="1"/>
  <cols>
    <col min="1" max="2" width="1.21875" style="11" customWidth="1"/>
    <col min="3" max="3" width="1.21875" style="12" customWidth="1"/>
    <col min="4" max="4" width="5.77734375" style="137" customWidth="1"/>
    <col min="5" max="5" width="97.77734375" style="137" bestFit="1" customWidth="1"/>
    <col min="6" max="6" width="12.77734375" style="13" customWidth="1"/>
    <col min="7" max="7" width="11.77734375" style="13" customWidth="1"/>
    <col min="8" max="8" width="15.77734375" style="14" customWidth="1"/>
    <col min="9" max="9" width="3.77734375" style="45" customWidth="1"/>
    <col min="10" max="10" width="39.44140625" style="45" customWidth="1"/>
    <col min="11" max="11" width="10.77734375" style="45" hidden="1" customWidth="1"/>
    <col min="12" max="12" width="11.77734375" style="45" hidden="1" customWidth="1"/>
    <col min="13" max="16384" width="9.21875" style="45" hidden="1"/>
  </cols>
  <sheetData>
    <row r="1" spans="1:21" ht="24.6">
      <c r="A1" s="1" t="str">
        <f ca="1" xml:space="preserve"> RIGHT(CELL("filename", $A$1), LEN(CELL("filename", $A$1)) - SEARCH("]", CELL("filename", $A$1)))</f>
        <v>Totex</v>
      </c>
      <c r="B1" s="1"/>
      <c r="C1" s="2"/>
      <c r="D1" s="150"/>
      <c r="E1" s="150"/>
      <c r="F1" s="352">
        <f>Check!F2</f>
        <v>0</v>
      </c>
      <c r="G1" s="353" t="s">
        <v>239</v>
      </c>
      <c r="H1" s="6"/>
    </row>
    <row r="2" spans="1:21">
      <c r="A2" s="7"/>
      <c r="B2" s="7"/>
      <c r="C2" s="8"/>
      <c r="D2" s="161"/>
      <c r="E2" s="91"/>
      <c r="F2" s="352">
        <f>Check!F3</f>
        <v>93</v>
      </c>
      <c r="G2" s="569" t="s">
        <v>352</v>
      </c>
      <c r="H2" s="6"/>
    </row>
    <row r="3" spans="1:21">
      <c r="A3" s="7"/>
      <c r="B3" s="7"/>
      <c r="C3" s="8"/>
      <c r="D3" s="161"/>
      <c r="E3" s="91"/>
      <c r="F3" s="121"/>
      <c r="G3" s="121"/>
      <c r="H3" s="6"/>
    </row>
    <row r="4" spans="1:21">
      <c r="A4" s="7"/>
      <c r="B4" s="7"/>
      <c r="C4" s="8"/>
      <c r="D4" s="161"/>
      <c r="E4" s="91"/>
      <c r="F4" s="121"/>
      <c r="G4" s="121"/>
      <c r="H4" s="6"/>
    </row>
    <row r="5" spans="1:21">
      <c r="A5" s="7"/>
      <c r="B5" s="7"/>
      <c r="C5" s="8"/>
      <c r="D5" s="161"/>
      <c r="E5" s="91"/>
      <c r="F5" s="122" t="s">
        <v>0</v>
      </c>
      <c r="G5" s="122" t="s">
        <v>1</v>
      </c>
      <c r="H5" s="80" t="s">
        <v>22</v>
      </c>
      <c r="I5" s="81"/>
      <c r="J5" s="7" t="s">
        <v>89</v>
      </c>
    </row>
    <row r="7" spans="1:21" s="65" customFormat="1" ht="15" customHeight="1">
      <c r="A7" s="15" t="s">
        <v>136</v>
      </c>
      <c r="B7" s="15"/>
      <c r="C7" s="16"/>
      <c r="D7" s="135"/>
      <c r="E7" s="135"/>
      <c r="F7" s="17"/>
      <c r="G7" s="17"/>
      <c r="H7" s="15"/>
      <c r="I7" s="15"/>
      <c r="J7" s="15"/>
      <c r="K7" s="82"/>
    </row>
    <row r="8" spans="1:21" ht="12.75" customHeight="1">
      <c r="E8" s="136"/>
      <c r="F8" s="123"/>
      <c r="G8" s="123"/>
      <c r="H8" s="33"/>
      <c r="J8" s="82"/>
      <c r="K8" s="82"/>
    </row>
    <row r="9" spans="1:21" customFormat="1" ht="14.4">
      <c r="A9" s="106"/>
      <c r="B9" s="270" t="s">
        <v>117</v>
      </c>
      <c r="C9" s="164"/>
      <c r="D9" s="109"/>
      <c r="F9" s="274"/>
      <c r="G9" s="274"/>
      <c r="H9" s="271"/>
      <c r="I9" s="42"/>
      <c r="J9" s="271"/>
      <c r="K9" s="271"/>
      <c r="L9" s="271"/>
      <c r="M9" s="271"/>
      <c r="N9" s="271"/>
      <c r="O9" s="271"/>
      <c r="P9" s="271"/>
      <c r="Q9" s="271"/>
      <c r="R9" s="271"/>
      <c r="S9" s="271"/>
      <c r="T9" s="271"/>
      <c r="U9" s="271"/>
    </row>
    <row r="10" spans="1:21" ht="14.4">
      <c r="B10" s="11" t="s">
        <v>28</v>
      </c>
      <c r="I10" s="42"/>
      <c r="J10" s="82"/>
      <c r="K10" s="82"/>
    </row>
    <row r="11" spans="1:21" ht="14.4" outlineLevel="1">
      <c r="J11" s="82"/>
      <c r="K11" s="82"/>
    </row>
    <row r="12" spans="1:21" customFormat="1" ht="12.75" customHeight="1" outlineLevel="1">
      <c r="A12" s="163"/>
      <c r="B12" s="106"/>
      <c r="C12" s="107" t="s">
        <v>10</v>
      </c>
      <c r="D12" s="108"/>
      <c r="E12" s="109"/>
      <c r="F12" s="108"/>
      <c r="G12" s="108"/>
      <c r="H12" s="109"/>
      <c r="I12" s="45"/>
      <c r="J12" s="109"/>
      <c r="K12" s="109"/>
      <c r="L12" s="109"/>
      <c r="M12" s="109"/>
      <c r="N12" s="109"/>
      <c r="O12" s="109"/>
      <c r="P12" s="109"/>
      <c r="Q12" s="109"/>
      <c r="R12" s="109"/>
      <c r="S12" s="109"/>
      <c r="T12" s="109"/>
      <c r="U12" s="109"/>
    </row>
    <row r="13" spans="1:21" s="42" customFormat="1" ht="12.75" customHeight="1" outlineLevel="1">
      <c r="A13" s="51"/>
      <c r="B13" s="51"/>
      <c r="C13" s="147"/>
      <c r="D13" s="694" t="str">
        <f>InpC!D$55</f>
        <v>PR14</v>
      </c>
      <c r="E13" s="694" t="str">
        <f>InpC!E$55</f>
        <v>Adjustment from 2012/13 year average RPI to 2017/18 year average CPIH deflated</v>
      </c>
      <c r="F13" s="726">
        <f>InpC!F$55</f>
        <v>1.1497410673850219</v>
      </c>
      <c r="G13" s="227" t="str">
        <f>InpC!G$55</f>
        <v>factor</v>
      </c>
      <c r="H13" s="227">
        <f>InpC!H$55</f>
        <v>0</v>
      </c>
      <c r="J13" s="148"/>
      <c r="K13" s="148"/>
    </row>
    <row r="14" spans="1:21" s="42" customFormat="1" ht="12.75" customHeight="1" outlineLevel="1">
      <c r="A14" s="51"/>
      <c r="B14" s="51"/>
      <c r="C14" s="147"/>
      <c r="D14" s="692" t="str">
        <f xml:space="preserve"> InpAct!D$87</f>
        <v>PR14</v>
      </c>
      <c r="E14" s="692" t="str">
        <f xml:space="preserve"> InpAct!E$87</f>
        <v>Totex - real - Water</v>
      </c>
      <c r="F14" s="183">
        <f xml:space="preserve"> InpAct!F$87</f>
        <v>0</v>
      </c>
      <c r="G14" s="183" t="str">
        <f xml:space="preserve"> InpAct!G$87</f>
        <v>£m</v>
      </c>
      <c r="H14" s="112">
        <f xml:space="preserve"> InpAct!H$87</f>
        <v>657.01025522329905</v>
      </c>
      <c r="I14" s="45"/>
    </row>
    <row r="15" spans="1:21" ht="12.75" customHeight="1" outlineLevel="1">
      <c r="A15" s="25"/>
      <c r="B15" s="25"/>
      <c r="C15" s="26"/>
      <c r="D15" s="617" t="str">
        <f>InpC!$F$26</f>
        <v>PR14</v>
      </c>
      <c r="E15" s="86" t="s">
        <v>511</v>
      </c>
      <c r="F15" s="126"/>
      <c r="G15" s="125" t="s">
        <v>2</v>
      </c>
      <c r="H15" s="182">
        <f>H14 * $F13</f>
        <v>755.39167212334155</v>
      </c>
      <c r="I15" s="42"/>
      <c r="J15" s="117"/>
      <c r="K15" s="117"/>
    </row>
    <row r="16" spans="1:21" ht="12.75" customHeight="1" outlineLevel="1">
      <c r="A16" s="25"/>
      <c r="B16" s="25"/>
      <c r="C16" s="26"/>
      <c r="D16" s="86"/>
      <c r="E16" s="86"/>
      <c r="F16" s="126"/>
      <c r="G16" s="125"/>
      <c r="H16" s="85"/>
      <c r="I16" s="120"/>
      <c r="J16" s="117"/>
      <c r="K16" s="117"/>
    </row>
    <row r="17" spans="1:21" s="42" customFormat="1" ht="12.75" customHeight="1" outlineLevel="1">
      <c r="A17" s="51"/>
      <c r="B17" s="51"/>
      <c r="C17" s="147"/>
      <c r="D17" s="694" t="str">
        <f>InpC!D$55</f>
        <v>PR14</v>
      </c>
      <c r="E17" s="694" t="str">
        <f>InpC!E$55</f>
        <v>Adjustment from 2012/13 year average RPI to 2017/18 year average CPIH deflated</v>
      </c>
      <c r="F17" s="726">
        <f>InpC!F$55</f>
        <v>1.1497410673850219</v>
      </c>
      <c r="G17" s="227" t="str">
        <f>InpC!G$55</f>
        <v>factor</v>
      </c>
      <c r="H17" s="227">
        <f>InpC!H$55</f>
        <v>0</v>
      </c>
      <c r="J17" s="148"/>
      <c r="K17" s="148"/>
    </row>
    <row r="18" spans="1:21" s="42" customFormat="1" ht="12.75" customHeight="1" outlineLevel="1">
      <c r="A18" s="51"/>
      <c r="B18" s="51"/>
      <c r="C18" s="147"/>
      <c r="D18" s="112" t="str">
        <f>InpAct!D$89</f>
        <v>PR14</v>
      </c>
      <c r="E18" s="112" t="str">
        <f>InpAct!E$89</f>
        <v>PAYG Totex - real - Water</v>
      </c>
      <c r="F18" s="112">
        <f>InpAct!F$89</f>
        <v>0</v>
      </c>
      <c r="G18" s="183" t="str">
        <f>InpAct!G$89</f>
        <v>£m</v>
      </c>
      <c r="H18" s="112">
        <f>InpAct!H$89</f>
        <v>405.13882047593307</v>
      </c>
      <c r="J18" s="110"/>
      <c r="K18" s="148"/>
    </row>
    <row r="19" spans="1:21" ht="12.75" customHeight="1" outlineLevel="1">
      <c r="A19" s="25"/>
      <c r="B19" s="18"/>
      <c r="C19" s="19"/>
      <c r="D19" s="617" t="str">
        <f>InpC!$F$26</f>
        <v>PR14</v>
      </c>
      <c r="E19" s="86" t="s">
        <v>512</v>
      </c>
      <c r="F19" s="126"/>
      <c r="G19" s="125" t="s">
        <v>2</v>
      </c>
      <c r="H19" s="182">
        <f>H18 * $F17</f>
        <v>465.80473989310804</v>
      </c>
      <c r="J19" s="418"/>
      <c r="K19" s="83"/>
    </row>
    <row r="20" spans="1:21" ht="12.75" customHeight="1" outlineLevel="1">
      <c r="A20" s="25"/>
      <c r="B20" s="25"/>
      <c r="C20" s="26"/>
      <c r="D20" s="86"/>
      <c r="E20" s="86"/>
      <c r="F20" s="125"/>
      <c r="G20" s="125"/>
      <c r="H20" s="45"/>
      <c r="J20" s="85"/>
      <c r="K20" s="82"/>
    </row>
    <row r="21" spans="1:21" customFormat="1" ht="12.75" customHeight="1" outlineLevel="1">
      <c r="A21" s="163"/>
      <c r="B21" s="163"/>
      <c r="C21" s="107" t="s">
        <v>11</v>
      </c>
      <c r="D21" s="399"/>
      <c r="E21" s="212"/>
      <c r="F21" s="399"/>
      <c r="G21" s="399"/>
      <c r="H21" s="109"/>
      <c r="I21" s="271"/>
      <c r="J21" s="109"/>
      <c r="K21" s="109"/>
      <c r="L21" s="109"/>
      <c r="M21" s="109"/>
      <c r="N21" s="109"/>
      <c r="O21" s="109"/>
      <c r="P21" s="109"/>
      <c r="Q21" s="109"/>
      <c r="R21" s="109"/>
      <c r="S21" s="109"/>
      <c r="T21" s="109"/>
      <c r="U21" s="109"/>
    </row>
    <row r="22" spans="1:21" s="42" customFormat="1" ht="12.75" customHeight="1" outlineLevel="1">
      <c r="A22" s="51"/>
      <c r="B22" s="51"/>
      <c r="C22" s="147"/>
      <c r="D22" s="618" t="str">
        <f>InpC!D$57</f>
        <v>PR19</v>
      </c>
      <c r="E22" s="618" t="str">
        <f>InpC!E$57</f>
        <v>CPI(H): Fin year average - inflate from base year 2017-18 average</v>
      </c>
      <c r="F22" s="727">
        <f>InpC!F$57</f>
        <v>1.1476732911210807</v>
      </c>
      <c r="G22" s="714" t="str">
        <f>InpC!G$57</f>
        <v>factor</v>
      </c>
      <c r="H22" s="714">
        <f>InpC!H$57</f>
        <v>0</v>
      </c>
      <c r="K22" s="111"/>
    </row>
    <row r="23" spans="1:21" s="42" customFormat="1" ht="12.75" customHeight="1" outlineLevel="1">
      <c r="A23" s="51"/>
      <c r="B23" s="51"/>
      <c r="C23" s="147"/>
      <c r="D23" s="692" t="str">
        <f>InpAct!D$92</f>
        <v>PR19</v>
      </c>
      <c r="E23" s="692" t="str">
        <f>InpAct!E$92</f>
        <v>Totex - net of grants and contributions - WR (post sensi adj) - nominal</v>
      </c>
      <c r="F23" s="183">
        <f>InpAct!F$92</f>
        <v>0</v>
      </c>
      <c r="G23" s="183" t="str">
        <f>InpAct!G$92</f>
        <v>£m</v>
      </c>
      <c r="H23" s="63">
        <f>InpAct!H$92</f>
        <v>125.5936248111251</v>
      </c>
      <c r="I23" s="45"/>
      <c r="J23" s="89"/>
      <c r="K23" s="89"/>
    </row>
    <row r="24" spans="1:21" s="42" customFormat="1" ht="12.75" customHeight="1" outlineLevel="1">
      <c r="A24" s="51"/>
      <c r="B24" s="51"/>
      <c r="C24" s="147"/>
      <c r="D24" s="617" t="str">
        <f>InpC!$F$27</f>
        <v>PR19</v>
      </c>
      <c r="E24" s="720" t="s">
        <v>429</v>
      </c>
      <c r="F24" s="182"/>
      <c r="G24" s="182" t="s">
        <v>2</v>
      </c>
      <c r="H24" s="229">
        <f>H23 / $F22</f>
        <v>109.43325577302717</v>
      </c>
      <c r="I24" s="45"/>
      <c r="J24" s="89"/>
      <c r="K24" s="89"/>
    </row>
    <row r="25" spans="1:21" s="42" customFormat="1" ht="12.75" customHeight="1" outlineLevel="1">
      <c r="A25" s="51"/>
      <c r="B25" s="51"/>
      <c r="C25" s="147"/>
      <c r="D25" s="692"/>
      <c r="E25" s="692"/>
      <c r="F25" s="183"/>
      <c r="G25" s="183"/>
      <c r="H25" s="63"/>
      <c r="I25" s="120"/>
      <c r="J25" s="89"/>
      <c r="K25" s="89"/>
    </row>
    <row r="26" spans="1:21" s="42" customFormat="1" ht="12.75" customHeight="1" outlineLevel="1">
      <c r="A26" s="51"/>
      <c r="B26" s="51"/>
      <c r="C26" s="147"/>
      <c r="D26" s="618" t="str">
        <f>InpC!D$57</f>
        <v>PR19</v>
      </c>
      <c r="E26" s="618" t="str">
        <f>InpC!E$57</f>
        <v>CPI(H): Fin year average - inflate from base year 2017-18 average</v>
      </c>
      <c r="F26" s="727">
        <f>InpC!F$57</f>
        <v>1.1476732911210807</v>
      </c>
      <c r="G26" s="714" t="str">
        <f>InpC!G$57</f>
        <v>factor</v>
      </c>
      <c r="H26" s="714">
        <f>InpC!H$57</f>
        <v>0</v>
      </c>
      <c r="K26" s="111"/>
    </row>
    <row r="27" spans="1:21" s="42" customFormat="1" ht="12.75" customHeight="1" outlineLevel="1">
      <c r="A27" s="51"/>
      <c r="B27" s="51"/>
      <c r="C27" s="147"/>
      <c r="D27" s="112" t="str">
        <f>InpAct!D$96</f>
        <v>PR19</v>
      </c>
      <c r="E27" s="112" t="str">
        <f>InpAct!E$96</f>
        <v>Water resources: PAYG Totex - nominal</v>
      </c>
      <c r="F27" s="112">
        <f>InpAct!F$96</f>
        <v>0</v>
      </c>
      <c r="G27" s="183" t="str">
        <f>InpAct!G$96</f>
        <v>£m</v>
      </c>
      <c r="H27" s="63">
        <f>InpAct!H$96</f>
        <v>78.108132518194196</v>
      </c>
      <c r="I27" s="271"/>
      <c r="J27" s="89"/>
      <c r="K27" s="89"/>
    </row>
    <row r="28" spans="1:21" ht="12.75" customHeight="1" outlineLevel="1">
      <c r="A28" s="25"/>
      <c r="B28" s="25"/>
      <c r="C28" s="26"/>
      <c r="D28" s="617" t="str">
        <f>InpC!$F$27</f>
        <v>PR19</v>
      </c>
      <c r="E28" s="86" t="s">
        <v>430</v>
      </c>
      <c r="F28" s="125"/>
      <c r="G28" s="125" t="s">
        <v>2</v>
      </c>
      <c r="H28" s="229">
        <f>H27 / $F26</f>
        <v>68.057811506527173</v>
      </c>
      <c r="I28" s="42"/>
      <c r="J28" s="418"/>
      <c r="K28" s="83"/>
    </row>
    <row r="29" spans="1:21" ht="12.75" customHeight="1" outlineLevel="1">
      <c r="A29" s="25"/>
      <c r="B29" s="25"/>
      <c r="C29" s="26"/>
      <c r="D29" s="278"/>
      <c r="E29" s="161"/>
      <c r="F29" s="9"/>
      <c r="G29" s="9"/>
      <c r="H29" s="10"/>
      <c r="I29" s="42"/>
      <c r="J29" s="82"/>
      <c r="K29" s="82"/>
    </row>
    <row r="30" spans="1:21" s="42" customFormat="1" ht="12.75" customHeight="1" outlineLevel="1">
      <c r="A30" s="51"/>
      <c r="B30" s="51"/>
      <c r="C30" s="147"/>
      <c r="D30" s="618" t="str">
        <f>InpC!D$57</f>
        <v>PR19</v>
      </c>
      <c r="E30" s="618" t="str">
        <f>InpC!E$57</f>
        <v>CPI(H): Fin year average - inflate from base year 2017-18 average</v>
      </c>
      <c r="F30" s="727">
        <f>InpC!F$57</f>
        <v>1.1476732911210807</v>
      </c>
      <c r="G30" s="714" t="str">
        <f>InpC!G$57</f>
        <v>factor</v>
      </c>
      <c r="H30" s="714">
        <f>InpC!H$57</f>
        <v>0</v>
      </c>
      <c r="K30" s="111"/>
    </row>
    <row r="31" spans="1:21" s="42" customFormat="1" ht="12.75" customHeight="1" outlineLevel="1">
      <c r="A31" s="51"/>
      <c r="B31" s="51"/>
      <c r="C31" s="147"/>
      <c r="D31" s="692" t="str">
        <f>InpAct!D$93</f>
        <v>PR19</v>
      </c>
      <c r="E31" s="692" t="str">
        <f>InpAct!E$93</f>
        <v>Totex - net of grants and contributions - WN (post sensi adj) - nominal</v>
      </c>
      <c r="F31" s="183">
        <f>InpAct!F$93</f>
        <v>0</v>
      </c>
      <c r="G31" s="183" t="str">
        <f>InpAct!G$93</f>
        <v>£m</v>
      </c>
      <c r="H31" s="63">
        <f>InpAct!H$93</f>
        <v>1006.9333628441664</v>
      </c>
      <c r="J31" s="89"/>
      <c r="K31" s="89"/>
    </row>
    <row r="32" spans="1:21" s="42" customFormat="1" ht="12.75" customHeight="1" outlineLevel="1">
      <c r="A32" s="51"/>
      <c r="B32" s="51"/>
      <c r="C32" s="147"/>
      <c r="D32" s="617" t="str">
        <f>InpC!$F$27</f>
        <v>PR19</v>
      </c>
      <c r="E32" s="720" t="s">
        <v>431</v>
      </c>
      <c r="F32" s="182"/>
      <c r="G32" s="182" t="s">
        <v>2</v>
      </c>
      <c r="H32" s="229">
        <f>H31 / $F30</f>
        <v>877.3693442500213</v>
      </c>
      <c r="J32" s="89"/>
      <c r="K32" s="89"/>
    </row>
    <row r="33" spans="1:21" s="42" customFormat="1" ht="12.75" customHeight="1" outlineLevel="1">
      <c r="A33" s="51"/>
      <c r="B33" s="51"/>
      <c r="C33" s="147"/>
      <c r="D33" s="692"/>
      <c r="E33" s="692"/>
      <c r="F33" s="183"/>
      <c r="G33" s="183"/>
      <c r="H33" s="63"/>
      <c r="J33" s="89"/>
      <c r="K33" s="89"/>
    </row>
    <row r="34" spans="1:21" s="42" customFormat="1" ht="12.75" customHeight="1" outlineLevel="1">
      <c r="A34" s="51"/>
      <c r="B34" s="51"/>
      <c r="C34" s="147"/>
      <c r="D34" s="618" t="str">
        <f>InpC!D$57</f>
        <v>PR19</v>
      </c>
      <c r="E34" s="618" t="str">
        <f>InpC!E$57</f>
        <v>CPI(H): Fin year average - inflate from base year 2017-18 average</v>
      </c>
      <c r="F34" s="727">
        <f>InpC!F$57</f>
        <v>1.1476732911210807</v>
      </c>
      <c r="G34" s="714" t="str">
        <f>InpC!G$57</f>
        <v>factor</v>
      </c>
      <c r="H34" s="714">
        <f>InpC!H$57</f>
        <v>0</v>
      </c>
      <c r="K34" s="111"/>
    </row>
    <row r="35" spans="1:21" s="42" customFormat="1" ht="12.75" customHeight="1" outlineLevel="1">
      <c r="A35" s="51"/>
      <c r="B35" s="51"/>
      <c r="C35" s="147"/>
      <c r="D35" s="112" t="str">
        <f>InpAct!D$97</f>
        <v>PR19</v>
      </c>
      <c r="E35" s="112" t="str">
        <f>InpAct!E$97</f>
        <v>Water network: PAYG Totex - nominal</v>
      </c>
      <c r="F35" s="112">
        <f>InpAct!F$97</f>
        <v>0</v>
      </c>
      <c r="G35" s="183" t="str">
        <f>InpAct!G$97</f>
        <v>£m</v>
      </c>
      <c r="H35" s="63">
        <f>InpAct!H$97</f>
        <v>404.63314884215987</v>
      </c>
      <c r="I35" s="45"/>
      <c r="J35" s="89"/>
      <c r="K35" s="89"/>
    </row>
    <row r="36" spans="1:21" ht="12.75" customHeight="1" outlineLevel="1">
      <c r="A36" s="25"/>
      <c r="B36" s="25"/>
      <c r="C36" s="26"/>
      <c r="D36" s="617" t="str">
        <f>InpC!$F$27</f>
        <v>PR19</v>
      </c>
      <c r="E36" s="86" t="s">
        <v>432</v>
      </c>
      <c r="F36" s="9"/>
      <c r="G36" s="9" t="s">
        <v>2</v>
      </c>
      <c r="H36" s="229">
        <f>H35 / $F34</f>
        <v>352.56823694738284</v>
      </c>
      <c r="J36" s="82"/>
      <c r="K36" s="82"/>
    </row>
    <row r="37" spans="1:21" ht="12.75" customHeight="1" outlineLevel="1">
      <c r="A37" s="25"/>
      <c r="B37" s="25"/>
      <c r="C37" s="26"/>
      <c r="D37" s="278"/>
      <c r="E37" s="161"/>
      <c r="F37" s="9"/>
      <c r="G37" s="9"/>
      <c r="H37" s="10"/>
      <c r="J37" s="82"/>
      <c r="K37" s="82"/>
    </row>
    <row r="38" spans="1:21" ht="12.75" customHeight="1" outlineLevel="1">
      <c r="A38" s="25"/>
      <c r="B38" s="25"/>
      <c r="C38" s="26"/>
      <c r="D38" s="161" t="str">
        <f>D$24</f>
        <v>PR19</v>
      </c>
      <c r="E38" s="161" t="str">
        <f t="shared" ref="E38:H38" si="0">E$24</f>
        <v>Totex - net of grants and contributions - WR (post sensi adj) - 2017/18 year average CPIH deflated</v>
      </c>
      <c r="F38" s="9">
        <f t="shared" si="0"/>
        <v>0</v>
      </c>
      <c r="G38" s="9" t="str">
        <f t="shared" si="0"/>
        <v>£m</v>
      </c>
      <c r="H38" s="52">
        <f t="shared" si="0"/>
        <v>109.43325577302717</v>
      </c>
      <c r="J38" s="82"/>
      <c r="K38" s="82"/>
    </row>
    <row r="39" spans="1:21" ht="12.75" customHeight="1" outlineLevel="1">
      <c r="A39" s="25"/>
      <c r="B39" s="25"/>
      <c r="C39" s="26"/>
      <c r="D39" s="161" t="str">
        <f>D$32</f>
        <v>PR19</v>
      </c>
      <c r="E39" s="161" t="str">
        <f t="shared" ref="E39:H39" si="1">E$32</f>
        <v>Totex - net of grants and contributions - WN (post sensi adj) - 2017/18 year average CPIH deflated</v>
      </c>
      <c r="F39" s="9">
        <f t="shared" si="1"/>
        <v>0</v>
      </c>
      <c r="G39" s="9" t="str">
        <f t="shared" si="1"/>
        <v>£m</v>
      </c>
      <c r="H39" s="52">
        <f t="shared" si="1"/>
        <v>877.3693442500213</v>
      </c>
      <c r="J39" s="82"/>
      <c r="K39" s="82"/>
    </row>
    <row r="40" spans="1:21" ht="12.75" customHeight="1" outlineLevel="1">
      <c r="A40" s="25"/>
      <c r="B40" s="25"/>
      <c r="C40" s="26"/>
      <c r="D40" s="616" t="str">
        <f>InpC!$F$27</f>
        <v>PR19</v>
      </c>
      <c r="E40" s="715" t="s">
        <v>433</v>
      </c>
      <c r="F40" s="716"/>
      <c r="G40" s="716" t="s">
        <v>2</v>
      </c>
      <c r="H40" s="98">
        <f>SUM(H38:H39)</f>
        <v>986.80260002304851</v>
      </c>
      <c r="J40" s="82"/>
      <c r="K40" s="82"/>
    </row>
    <row r="41" spans="1:21" ht="12.75" customHeight="1" outlineLevel="1">
      <c r="A41" s="25"/>
      <c r="B41" s="25"/>
      <c r="C41" s="26"/>
      <c r="D41" s="161"/>
      <c r="E41" s="161"/>
      <c r="F41" s="9"/>
      <c r="G41" s="9"/>
      <c r="H41" s="52"/>
      <c r="J41" s="82"/>
      <c r="K41" s="82"/>
    </row>
    <row r="42" spans="1:21" ht="12.75" customHeight="1" outlineLevel="1">
      <c r="A42" s="25"/>
      <c r="B42" s="25"/>
      <c r="C42" s="26"/>
      <c r="D42" s="161" t="str">
        <f>D$28</f>
        <v>PR19</v>
      </c>
      <c r="E42" s="161" t="str">
        <f t="shared" ref="E42:H42" si="2">E$28</f>
        <v>Water Resources: PAYG Totex - 2017/18 year average CPIH deflated</v>
      </c>
      <c r="F42" s="9">
        <f t="shared" si="2"/>
        <v>0</v>
      </c>
      <c r="G42" s="9" t="str">
        <f t="shared" si="2"/>
        <v>£m</v>
      </c>
      <c r="H42" s="52">
        <f t="shared" si="2"/>
        <v>68.057811506527173</v>
      </c>
      <c r="J42" s="82"/>
      <c r="K42" s="82"/>
    </row>
    <row r="43" spans="1:21" ht="12.75" customHeight="1" outlineLevel="1">
      <c r="A43" s="25"/>
      <c r="B43" s="18"/>
      <c r="C43" s="19"/>
      <c r="D43" s="91" t="str">
        <f>D$36</f>
        <v>PR19</v>
      </c>
      <c r="E43" s="91" t="str">
        <f t="shared" ref="E43:H43" si="3">E$36</f>
        <v>Water Network: PAYG Totex - 2017/18 year average CPIH deflated</v>
      </c>
      <c r="F43" s="9">
        <f t="shared" si="3"/>
        <v>0</v>
      </c>
      <c r="G43" s="9" t="str">
        <f t="shared" si="3"/>
        <v>£m</v>
      </c>
      <c r="H43" s="52">
        <f t="shared" si="3"/>
        <v>352.56823694738284</v>
      </c>
      <c r="J43" s="82"/>
      <c r="K43" s="82"/>
    </row>
    <row r="44" spans="1:21" ht="12.75" customHeight="1" outlineLevel="1">
      <c r="A44" s="25"/>
      <c r="B44" s="18"/>
      <c r="C44" s="19"/>
      <c r="D44" s="616" t="str">
        <f>InpC!$F$27</f>
        <v>PR19</v>
      </c>
      <c r="E44" s="97" t="s">
        <v>434</v>
      </c>
      <c r="F44" s="130"/>
      <c r="G44" s="130" t="s">
        <v>2</v>
      </c>
      <c r="H44" s="98">
        <f>SUM(H42:H43)</f>
        <v>420.62604845391002</v>
      </c>
      <c r="J44" s="82"/>
      <c r="K44" s="82"/>
    </row>
    <row r="45" spans="1:21" ht="12.75" customHeight="1" outlineLevel="1">
      <c r="A45" s="25"/>
      <c r="B45" s="18"/>
      <c r="C45" s="19"/>
      <c r="D45" s="91"/>
      <c r="E45" s="91"/>
      <c r="F45" s="128"/>
      <c r="G45" s="128"/>
      <c r="H45" s="52"/>
      <c r="J45" s="82"/>
      <c r="K45" s="82"/>
    </row>
    <row r="46" spans="1:21" customFormat="1" ht="14.4" outlineLevel="1">
      <c r="A46" s="106"/>
      <c r="B46" s="270" t="s">
        <v>115</v>
      </c>
      <c r="C46" s="164"/>
      <c r="D46" s="109"/>
      <c r="F46" s="274"/>
      <c r="G46" s="274"/>
      <c r="H46" s="271"/>
      <c r="I46" s="45"/>
      <c r="J46" s="271"/>
      <c r="K46" s="271"/>
      <c r="L46" s="271"/>
      <c r="M46" s="271"/>
      <c r="N46" s="271"/>
      <c r="O46" s="271"/>
      <c r="P46" s="271"/>
      <c r="Q46" s="271"/>
      <c r="R46" s="271"/>
      <c r="S46" s="271"/>
      <c r="T46" s="271"/>
      <c r="U46" s="271"/>
    </row>
    <row r="47" spans="1:21" ht="12.75" customHeight="1" outlineLevel="1">
      <c r="A47" s="25"/>
      <c r="B47" s="18"/>
      <c r="C47" s="19"/>
      <c r="D47" s="86" t="str">
        <f>D$19</f>
        <v>PR14</v>
      </c>
      <c r="E47" s="86" t="str">
        <f t="shared" ref="E47:H47" si="4">E$19</f>
        <v>PAYG Totex - 2017/18 year average CPIH deflated - Water</v>
      </c>
      <c r="F47" s="128">
        <f t="shared" si="4"/>
        <v>0</v>
      </c>
      <c r="G47" s="128" t="str">
        <f t="shared" si="4"/>
        <v>£m</v>
      </c>
      <c r="H47" s="52">
        <f t="shared" si="4"/>
        <v>465.80473989310804</v>
      </c>
      <c r="J47" s="82"/>
      <c r="K47" s="82"/>
    </row>
    <row r="48" spans="1:21" ht="12.75" customHeight="1" outlineLevel="1">
      <c r="A48" s="25"/>
      <c r="B48" s="18"/>
      <c r="C48" s="19"/>
      <c r="D48" s="87" t="str">
        <f>D$44</f>
        <v>PR19</v>
      </c>
      <c r="E48" s="87" t="str">
        <f t="shared" ref="E48:H48" si="5">E$44</f>
        <v>PAYG Totex - Water (post sensi adj) - 2017/18 year average CPIH deflated</v>
      </c>
      <c r="F48" s="128">
        <f t="shared" si="5"/>
        <v>0</v>
      </c>
      <c r="G48" s="128" t="str">
        <f t="shared" si="5"/>
        <v>£m</v>
      </c>
      <c r="H48" s="52">
        <f t="shared" si="5"/>
        <v>420.62604845391002</v>
      </c>
      <c r="J48" s="82"/>
      <c r="K48" s="82"/>
    </row>
    <row r="49" spans="1:21" s="79" customFormat="1" ht="12.75" customHeight="1" outlineLevel="1">
      <c r="D49" s="91"/>
      <c r="E49" s="91" t="s">
        <v>36</v>
      </c>
      <c r="F49" s="128"/>
      <c r="G49" s="128" t="s">
        <v>2</v>
      </c>
      <c r="H49" s="52">
        <f>H48 - H47</f>
        <v>-45.178691439198019</v>
      </c>
      <c r="I49" s="45"/>
      <c r="J49" s="82"/>
      <c r="K49" s="82"/>
      <c r="L49" s="78"/>
      <c r="M49" s="78"/>
      <c r="N49" s="78"/>
      <c r="O49" s="78"/>
      <c r="P49" s="78"/>
      <c r="Q49" s="78"/>
      <c r="R49" s="78"/>
      <c r="S49" s="78"/>
      <c r="T49" s="78"/>
      <c r="U49" s="78"/>
    </row>
    <row r="50" spans="1:21" customFormat="1" ht="14.4" outlineLevel="1">
      <c r="A50" s="106"/>
      <c r="B50" s="11"/>
      <c r="C50" s="164"/>
      <c r="D50" s="109"/>
      <c r="F50" s="274"/>
      <c r="G50" s="274"/>
      <c r="H50" s="271"/>
      <c r="I50" s="45"/>
      <c r="J50" s="82"/>
      <c r="K50" s="271"/>
      <c r="L50" s="271"/>
      <c r="M50" s="271"/>
      <c r="N50" s="271"/>
      <c r="O50" s="271"/>
      <c r="P50" s="271"/>
      <c r="Q50" s="271"/>
      <c r="R50" s="271"/>
      <c r="S50" s="271"/>
      <c r="T50" s="271"/>
      <c r="U50" s="271"/>
    </row>
    <row r="51" spans="1:21" customFormat="1" ht="14.4" outlineLevel="1">
      <c r="A51" s="106"/>
      <c r="B51" s="270" t="s">
        <v>408</v>
      </c>
      <c r="C51" s="164"/>
      <c r="D51" s="109"/>
      <c r="F51" s="274"/>
      <c r="G51" s="274"/>
      <c r="H51" s="271"/>
      <c r="I51" s="45"/>
      <c r="J51" s="82"/>
      <c r="K51" s="271"/>
      <c r="L51" s="271"/>
      <c r="M51" s="271"/>
      <c r="N51" s="271"/>
      <c r="O51" s="271"/>
      <c r="P51" s="271"/>
      <c r="Q51" s="271"/>
      <c r="R51" s="271"/>
      <c r="S51" s="271"/>
      <c r="T51" s="271"/>
      <c r="U51" s="271"/>
    </row>
    <row r="52" spans="1:21" ht="12.75" customHeight="1" outlineLevel="1">
      <c r="A52" s="25"/>
      <c r="B52" s="18"/>
      <c r="C52" s="19"/>
      <c r="D52" s="91" t="str">
        <f>D$40</f>
        <v>PR19</v>
      </c>
      <c r="E52" s="91" t="str">
        <f t="shared" ref="E52:H52" si="6">E$40</f>
        <v>Totex - net of grants and contributions - Water (post sensi adj) - 2017/18 year average CPIH deflated</v>
      </c>
      <c r="F52" s="128">
        <f t="shared" si="6"/>
        <v>0</v>
      </c>
      <c r="G52" s="128" t="str">
        <f t="shared" si="6"/>
        <v>£m</v>
      </c>
      <c r="H52" s="52">
        <f t="shared" si="6"/>
        <v>986.80260002304851</v>
      </c>
      <c r="J52" s="82"/>
      <c r="K52" s="82"/>
    </row>
    <row r="53" spans="1:21" ht="12.75" customHeight="1" outlineLevel="1">
      <c r="A53" s="25"/>
      <c r="B53" s="18"/>
      <c r="C53" s="19"/>
      <c r="D53" s="91" t="str">
        <f>D$44</f>
        <v>PR19</v>
      </c>
      <c r="E53" s="91" t="str">
        <f t="shared" ref="E53:H53" si="7">E$44</f>
        <v>PAYG Totex - Water (post sensi adj) - 2017/18 year average CPIH deflated</v>
      </c>
      <c r="F53" s="128">
        <f t="shared" si="7"/>
        <v>0</v>
      </c>
      <c r="G53" s="128" t="str">
        <f t="shared" si="7"/>
        <v>£m</v>
      </c>
      <c r="H53" s="52">
        <f t="shared" si="7"/>
        <v>420.62604845391002</v>
      </c>
      <c r="J53" s="82"/>
      <c r="K53" s="82"/>
    </row>
    <row r="54" spans="1:21" ht="12.75" customHeight="1" outlineLevel="1">
      <c r="A54" s="25"/>
      <c r="B54" s="18"/>
      <c r="C54" s="19"/>
      <c r="D54" s="110" t="str">
        <f>InpC!$F$27</f>
        <v>PR19</v>
      </c>
      <c r="E54" s="91" t="s">
        <v>58</v>
      </c>
      <c r="F54" s="128"/>
      <c r="G54" s="128" t="s">
        <v>3</v>
      </c>
      <c r="H54" s="99">
        <f xml:space="preserve"> IFERROR( H53 / H52, 0)</f>
        <v>0.42625145945509829</v>
      </c>
      <c r="J54" s="82"/>
      <c r="K54" s="82"/>
    </row>
    <row r="55" spans="1:21" ht="12.75" customHeight="1" outlineLevel="1">
      <c r="A55" s="25"/>
      <c r="B55" s="18"/>
      <c r="C55" s="19"/>
      <c r="D55" s="91"/>
      <c r="E55" s="91"/>
      <c r="F55" s="128"/>
      <c r="G55" s="128"/>
      <c r="H55" s="52"/>
      <c r="J55" s="82"/>
      <c r="K55" s="82"/>
    </row>
    <row r="56" spans="1:21" ht="12.75" customHeight="1" outlineLevel="1">
      <c r="A56" s="45"/>
      <c r="B56" s="45"/>
      <c r="C56" s="45"/>
      <c r="D56" s="87" t="str">
        <f>D$15</f>
        <v>PR14</v>
      </c>
      <c r="E56" s="87" t="str">
        <f t="shared" ref="E56:H56" si="8">E$15</f>
        <v>Totex - 2017/18 year average CPIH deflated - Water</v>
      </c>
      <c r="F56" s="128">
        <f t="shared" si="8"/>
        <v>0</v>
      </c>
      <c r="G56" s="128" t="str">
        <f t="shared" si="8"/>
        <v>£m</v>
      </c>
      <c r="H56" s="52">
        <f t="shared" si="8"/>
        <v>755.39167212334155</v>
      </c>
      <c r="J56" s="82"/>
      <c r="K56" s="82"/>
    </row>
    <row r="57" spans="1:21" ht="12.75" customHeight="1" outlineLevel="1">
      <c r="A57" s="45"/>
      <c r="B57" s="45"/>
      <c r="C57" s="45"/>
      <c r="D57" s="87" t="str">
        <f>D$54</f>
        <v>PR19</v>
      </c>
      <c r="E57" s="87" t="str">
        <f t="shared" ref="E57:H57" si="9">E$54</f>
        <v>Weighted average PAYG% - active - Water</v>
      </c>
      <c r="F57" s="128">
        <f t="shared" si="9"/>
        <v>0</v>
      </c>
      <c r="G57" s="128" t="str">
        <f t="shared" si="9"/>
        <v>%</v>
      </c>
      <c r="H57" s="99">
        <f t="shared" si="9"/>
        <v>0.42625145945509829</v>
      </c>
      <c r="J57" s="82"/>
      <c r="K57" s="82"/>
    </row>
    <row r="58" spans="1:21" s="79" customFormat="1" ht="12.75" customHeight="1" outlineLevel="1">
      <c r="D58" s="92"/>
      <c r="E58" s="92" t="s">
        <v>37</v>
      </c>
      <c r="F58" s="131"/>
      <c r="G58" s="131" t="s">
        <v>2</v>
      </c>
      <c r="H58" s="84">
        <f xml:space="preserve"> H57 * H56</f>
        <v>321.98680270280141</v>
      </c>
      <c r="I58" s="45"/>
      <c r="J58" s="82"/>
      <c r="K58" s="82"/>
      <c r="L58" s="78"/>
      <c r="M58" s="78"/>
      <c r="N58" s="78"/>
      <c r="O58" s="78"/>
      <c r="P58" s="78"/>
      <c r="Q58" s="78"/>
      <c r="R58" s="78"/>
      <c r="S58" s="78"/>
      <c r="T58" s="78"/>
      <c r="U58" s="78"/>
    </row>
    <row r="59" spans="1:21" ht="12.75" customHeight="1" outlineLevel="1">
      <c r="A59" s="25"/>
      <c r="B59" s="45"/>
      <c r="C59" s="45"/>
      <c r="D59" s="86"/>
      <c r="E59" s="86"/>
      <c r="F59" s="125"/>
      <c r="G59" s="125"/>
      <c r="H59" s="45"/>
      <c r="J59" s="82"/>
      <c r="K59" s="82"/>
    </row>
    <row r="60" spans="1:21" customFormat="1" ht="14.4" outlineLevel="1">
      <c r="A60" s="106"/>
      <c r="B60" s="270" t="s">
        <v>268</v>
      </c>
      <c r="C60" s="164"/>
      <c r="D60" s="109"/>
      <c r="F60" s="274"/>
      <c r="G60" s="274"/>
      <c r="H60" s="271"/>
      <c r="I60" s="45"/>
      <c r="J60" s="271"/>
      <c r="K60" s="271"/>
      <c r="L60" s="271"/>
      <c r="M60" s="271"/>
      <c r="N60" s="271"/>
      <c r="O60" s="271"/>
      <c r="P60" s="271"/>
      <c r="Q60" s="271"/>
      <c r="R60" s="271"/>
      <c r="S60" s="271"/>
      <c r="T60" s="271"/>
      <c r="U60" s="271"/>
    </row>
    <row r="61" spans="1:21" ht="12.75" customHeight="1" outlineLevel="1">
      <c r="A61" s="25"/>
      <c r="B61" s="79"/>
      <c r="C61" s="79"/>
      <c r="D61" s="86" t="str">
        <f>D$19</f>
        <v>PR14</v>
      </c>
      <c r="E61" s="86" t="str">
        <f t="shared" ref="E61:H61" si="10">E$19</f>
        <v>PAYG Totex - 2017/18 year average CPIH deflated - Water</v>
      </c>
      <c r="F61" s="21">
        <f t="shared" si="10"/>
        <v>0</v>
      </c>
      <c r="G61" s="21" t="str">
        <f t="shared" si="10"/>
        <v>£m</v>
      </c>
      <c r="H61" s="59">
        <f t="shared" si="10"/>
        <v>465.80473989310804</v>
      </c>
      <c r="J61" s="82"/>
      <c r="K61" s="82"/>
    </row>
    <row r="62" spans="1:21" ht="12.75" customHeight="1" outlineLevel="1">
      <c r="A62" s="77"/>
      <c r="B62" s="18"/>
      <c r="C62" s="19"/>
      <c r="D62" s="87"/>
      <c r="E62" s="87" t="str">
        <f>E$58</f>
        <v>PR14 PAYG Totex with PR19 PAYG% - Water</v>
      </c>
      <c r="F62" s="21">
        <f t="shared" ref="F62:H62" si="11">F$58</f>
        <v>0</v>
      </c>
      <c r="G62" s="21" t="str">
        <f t="shared" si="11"/>
        <v>£m</v>
      </c>
      <c r="H62" s="59">
        <f t="shared" si="11"/>
        <v>321.98680270280141</v>
      </c>
      <c r="J62" s="82"/>
      <c r="K62" s="82"/>
    </row>
    <row r="63" spans="1:21" ht="12.75" customHeight="1" outlineLevel="1">
      <c r="A63" s="25"/>
      <c r="B63" s="45"/>
      <c r="C63" s="45"/>
      <c r="D63" s="87"/>
      <c r="E63" s="138" t="s">
        <v>38</v>
      </c>
      <c r="F63" s="96"/>
      <c r="G63" s="96" t="s">
        <v>2</v>
      </c>
      <c r="H63" s="52">
        <f>H62 - H61</f>
        <v>-143.81793719030662</v>
      </c>
      <c r="J63" s="82"/>
      <c r="K63" s="82"/>
    </row>
    <row r="64" spans="1:21" customFormat="1" ht="14.4" outlineLevel="1">
      <c r="A64" s="106"/>
      <c r="B64" s="270"/>
      <c r="C64" s="164"/>
      <c r="D64" s="109"/>
      <c r="F64" s="274"/>
      <c r="G64" s="274"/>
      <c r="H64" s="271"/>
      <c r="I64" s="45"/>
      <c r="J64" s="271"/>
      <c r="K64" s="271"/>
      <c r="L64" s="271"/>
      <c r="M64" s="271"/>
      <c r="N64" s="271"/>
      <c r="O64" s="271"/>
      <c r="P64" s="271"/>
      <c r="Q64" s="271"/>
      <c r="R64" s="271"/>
      <c r="S64" s="271"/>
      <c r="T64" s="271"/>
      <c r="U64" s="271"/>
    </row>
    <row r="65" spans="1:21" customFormat="1" ht="14.4" outlineLevel="1">
      <c r="A65" s="106"/>
      <c r="B65" s="270" t="s">
        <v>409</v>
      </c>
      <c r="C65" s="164"/>
      <c r="D65" s="109"/>
      <c r="F65" s="274"/>
      <c r="G65" s="274"/>
      <c r="H65" s="271"/>
      <c r="I65" s="45"/>
      <c r="J65" s="271"/>
      <c r="K65" s="271"/>
      <c r="L65" s="271"/>
      <c r="M65" s="271"/>
      <c r="N65" s="271"/>
      <c r="O65" s="271"/>
      <c r="P65" s="271"/>
      <c r="Q65" s="271"/>
      <c r="R65" s="271"/>
      <c r="S65" s="271"/>
      <c r="T65" s="271"/>
      <c r="U65" s="271"/>
    </row>
    <row r="66" spans="1:21" ht="12.75" customHeight="1" outlineLevel="1">
      <c r="A66" s="25"/>
      <c r="B66" s="45"/>
      <c r="C66" s="45"/>
      <c r="D66" s="138"/>
      <c r="E66" s="138" t="str">
        <f>E$49</f>
        <v>Change in PAYG Totex - Water</v>
      </c>
      <c r="F66" s="21">
        <f t="shared" ref="F66:H66" si="12">F$49</f>
        <v>0</v>
      </c>
      <c r="G66" s="21" t="str">
        <f t="shared" si="12"/>
        <v>£m</v>
      </c>
      <c r="H66" s="59">
        <f t="shared" si="12"/>
        <v>-45.178691439198019</v>
      </c>
      <c r="J66" s="82"/>
      <c r="K66" s="82"/>
    </row>
    <row r="67" spans="1:21" ht="12.75" customHeight="1" outlineLevel="1">
      <c r="A67" s="77"/>
      <c r="B67" s="45"/>
      <c r="C67" s="45"/>
      <c r="D67" s="138"/>
      <c r="E67" s="138" t="str">
        <f>E$63</f>
        <v>Change in PAYG Totex due to change in PAYG% - Water</v>
      </c>
      <c r="F67" s="21">
        <f t="shared" ref="F67:H67" si="13">F$63</f>
        <v>0</v>
      </c>
      <c r="G67" s="21" t="str">
        <f t="shared" si="13"/>
        <v>£m</v>
      </c>
      <c r="H67" s="59">
        <f t="shared" si="13"/>
        <v>-143.81793719030662</v>
      </c>
      <c r="J67" s="82"/>
      <c r="K67" s="82"/>
    </row>
    <row r="68" spans="1:21" s="57" customFormat="1" ht="14.4" outlineLevel="1">
      <c r="A68" s="54"/>
      <c r="D68" s="139"/>
      <c r="E68" s="138" t="s">
        <v>39</v>
      </c>
      <c r="F68" s="96"/>
      <c r="G68" s="96" t="s">
        <v>2</v>
      </c>
      <c r="H68" s="52">
        <f>H66 - H67</f>
        <v>98.639245751108604</v>
      </c>
      <c r="I68" s="45"/>
      <c r="J68" s="94"/>
      <c r="K68" s="94"/>
    </row>
    <row r="69" spans="1:21" s="57" customFormat="1" ht="14.4">
      <c r="A69" s="54"/>
      <c r="D69" s="139"/>
      <c r="E69" s="138"/>
      <c r="F69" s="96"/>
      <c r="G69" s="96"/>
      <c r="H69" s="52"/>
      <c r="I69" s="45"/>
      <c r="J69" s="94"/>
      <c r="K69" s="94"/>
    </row>
    <row r="70" spans="1:21" customFormat="1" ht="14.4">
      <c r="A70" s="106"/>
      <c r="B70" s="270" t="s">
        <v>117</v>
      </c>
      <c r="C70" s="164"/>
      <c r="D70" s="109"/>
      <c r="F70" s="274"/>
      <c r="G70" s="274"/>
      <c r="H70" s="271"/>
      <c r="I70" s="45"/>
      <c r="J70" s="271"/>
      <c r="K70" s="271"/>
      <c r="L70" s="271"/>
      <c r="M70" s="271"/>
      <c r="N70" s="271"/>
      <c r="O70" s="271"/>
      <c r="P70" s="271"/>
      <c r="Q70" s="271"/>
      <c r="R70" s="271"/>
      <c r="S70" s="271"/>
      <c r="T70" s="271"/>
      <c r="U70" s="271"/>
    </row>
    <row r="71" spans="1:21" ht="14.4">
      <c r="B71" s="11" t="s">
        <v>7</v>
      </c>
      <c r="J71" s="82"/>
      <c r="K71" s="82"/>
    </row>
    <row r="72" spans="1:21" ht="14.4" outlineLevel="1">
      <c r="J72" s="82"/>
      <c r="K72" s="82"/>
    </row>
    <row r="73" spans="1:21" customFormat="1" ht="12.75" customHeight="1" outlineLevel="1">
      <c r="A73" s="163"/>
      <c r="B73" s="106"/>
      <c r="C73" s="107" t="s">
        <v>10</v>
      </c>
      <c r="D73" s="108"/>
      <c r="E73" s="109"/>
      <c r="F73" s="108"/>
      <c r="G73" s="108"/>
      <c r="H73" s="109"/>
      <c r="I73" s="45"/>
      <c r="J73" s="109"/>
      <c r="K73" s="109"/>
      <c r="L73" s="109"/>
      <c r="M73" s="109"/>
      <c r="N73" s="109"/>
      <c r="O73" s="109"/>
      <c r="P73" s="109"/>
      <c r="Q73" s="109"/>
      <c r="R73" s="109"/>
      <c r="S73" s="109"/>
      <c r="T73" s="109"/>
      <c r="U73" s="109"/>
    </row>
    <row r="74" spans="1:21" s="42" customFormat="1" ht="12.75" customHeight="1" outlineLevel="1">
      <c r="A74" s="51"/>
      <c r="B74" s="51"/>
      <c r="C74" s="147"/>
      <c r="D74" s="694" t="str">
        <f>InpC!D$55</f>
        <v>PR14</v>
      </c>
      <c r="E74" s="694" t="str">
        <f>InpC!E$55</f>
        <v>Adjustment from 2012/13 year average RPI to 2017/18 year average CPIH deflated</v>
      </c>
      <c r="F74" s="726">
        <f>InpC!F$55</f>
        <v>1.1497410673850219</v>
      </c>
      <c r="G74" s="227" t="str">
        <f>InpC!G$55</f>
        <v>factor</v>
      </c>
      <c r="H74" s="227">
        <f>InpC!H$55</f>
        <v>0</v>
      </c>
      <c r="J74" s="148"/>
      <c r="K74" s="148"/>
    </row>
    <row r="75" spans="1:21" s="42" customFormat="1" ht="12.75" customHeight="1" outlineLevel="1">
      <c r="A75" s="51"/>
      <c r="B75" s="51"/>
      <c r="C75" s="147"/>
      <c r="D75" s="692" t="str">
        <f>InpAct!D88</f>
        <v>PR14</v>
      </c>
      <c r="E75" s="692" t="str">
        <f>InpAct!E88</f>
        <v>Totex - real - Wastewater</v>
      </c>
      <c r="F75" s="183">
        <f>InpAct!F88</f>
        <v>0</v>
      </c>
      <c r="G75" s="183" t="str">
        <f>InpAct!G88</f>
        <v>£m</v>
      </c>
      <c r="H75" s="112">
        <f>InpAct!H88</f>
        <v>615.22963559942889</v>
      </c>
      <c r="I75" s="45"/>
    </row>
    <row r="76" spans="1:21" ht="12.75" customHeight="1" outlineLevel="1">
      <c r="A76" s="25"/>
      <c r="B76" s="25"/>
      <c r="C76" s="26"/>
      <c r="D76" s="617" t="str">
        <f>InpC!$F$26</f>
        <v>PR14</v>
      </c>
      <c r="E76" s="86" t="s">
        <v>503</v>
      </c>
      <c r="F76" s="126"/>
      <c r="G76" s="125" t="s">
        <v>2</v>
      </c>
      <c r="H76" s="182">
        <f>H75 * $F74</f>
        <v>707.3547779209855</v>
      </c>
      <c r="I76" s="57"/>
      <c r="J76" s="117"/>
      <c r="K76" s="117"/>
    </row>
    <row r="77" spans="1:21" ht="12.75" customHeight="1" outlineLevel="1">
      <c r="A77" s="25"/>
      <c r="B77" s="25"/>
      <c r="C77" s="26"/>
      <c r="D77" s="86"/>
      <c r="E77" s="86"/>
      <c r="F77" s="126"/>
      <c r="G77" s="125"/>
      <c r="H77" s="85"/>
      <c r="I77" s="57"/>
      <c r="J77" s="117"/>
      <c r="K77" s="117"/>
    </row>
    <row r="78" spans="1:21" s="42" customFormat="1" ht="12.75" customHeight="1" outlineLevel="1">
      <c r="A78" s="51"/>
      <c r="B78" s="51"/>
      <c r="C78" s="147"/>
      <c r="D78" s="694" t="str">
        <f>InpC!D$55</f>
        <v>PR14</v>
      </c>
      <c r="E78" s="694" t="str">
        <f>InpC!E$55</f>
        <v>Adjustment from 2012/13 year average RPI to 2017/18 year average CPIH deflated</v>
      </c>
      <c r="F78" s="726">
        <f>InpC!F$55</f>
        <v>1.1497410673850219</v>
      </c>
      <c r="G78" s="227" t="str">
        <f>InpC!G$55</f>
        <v>factor</v>
      </c>
      <c r="H78" s="227">
        <f>InpC!H$55</f>
        <v>0</v>
      </c>
      <c r="J78" s="148"/>
      <c r="K78" s="148"/>
    </row>
    <row r="79" spans="1:21" ht="12.75" customHeight="1" outlineLevel="1">
      <c r="A79" s="25"/>
      <c r="B79" s="18"/>
      <c r="C79" s="19"/>
      <c r="D79" s="112" t="str">
        <f>InpAct!D$90</f>
        <v>PR14</v>
      </c>
      <c r="E79" s="112" t="str">
        <f>InpAct!E$90</f>
        <v>PAYG Totex - real - Wastewater</v>
      </c>
      <c r="F79" s="112">
        <f>InpAct!F$90</f>
        <v>0</v>
      </c>
      <c r="G79" s="183" t="str">
        <f>InpAct!G$90</f>
        <v>£m</v>
      </c>
      <c r="H79" s="112">
        <f>InpAct!H$90</f>
        <v>332.29797981985269</v>
      </c>
      <c r="I79" s="57"/>
      <c r="J79" s="86"/>
      <c r="K79" s="83"/>
    </row>
    <row r="80" spans="1:21" ht="12.75" customHeight="1" outlineLevel="1">
      <c r="A80" s="25"/>
      <c r="B80" s="25"/>
      <c r="C80" s="26"/>
      <c r="D80" s="617" t="str">
        <f>InpC!$F$26</f>
        <v>PR14</v>
      </c>
      <c r="E80" s="86" t="s">
        <v>504</v>
      </c>
      <c r="F80" s="125"/>
      <c r="G80" s="125" t="s">
        <v>2</v>
      </c>
      <c r="H80" s="182">
        <f>H79 * $F78</f>
        <v>382.05663400796391</v>
      </c>
      <c r="I80" s="179"/>
      <c r="J80" s="83"/>
      <c r="K80" s="83"/>
    </row>
    <row r="81" spans="1:21" ht="12.75" customHeight="1" outlineLevel="1">
      <c r="A81" s="25"/>
      <c r="B81" s="25"/>
      <c r="C81" s="26"/>
      <c r="D81" s="86"/>
      <c r="E81" s="86"/>
      <c r="F81" s="125"/>
      <c r="G81" s="125"/>
      <c r="H81" s="45"/>
      <c r="I81" s="179"/>
      <c r="J81" s="82"/>
      <c r="K81" s="82"/>
    </row>
    <row r="82" spans="1:21" customFormat="1" ht="12.75" customHeight="1" outlineLevel="1">
      <c r="A82" s="163"/>
      <c r="B82" s="163"/>
      <c r="C82" s="107" t="s">
        <v>11</v>
      </c>
      <c r="D82" s="399"/>
      <c r="E82" s="212"/>
      <c r="F82" s="399"/>
      <c r="G82" s="399"/>
      <c r="H82" s="212"/>
      <c r="I82" s="45"/>
      <c r="J82" s="109"/>
      <c r="K82" s="109"/>
      <c r="L82" s="109"/>
      <c r="M82" s="109"/>
      <c r="N82" s="109"/>
      <c r="O82" s="109"/>
      <c r="P82" s="109"/>
      <c r="Q82" s="109"/>
      <c r="R82" s="109"/>
      <c r="S82" s="109"/>
      <c r="T82" s="109"/>
      <c r="U82" s="109"/>
    </row>
    <row r="83" spans="1:21" s="42" customFormat="1" ht="12.75" customHeight="1" outlineLevel="1">
      <c r="A83" s="51"/>
      <c r="B83" s="51"/>
      <c r="C83" s="147"/>
      <c r="D83" s="618" t="str">
        <f>InpC!D$57</f>
        <v>PR19</v>
      </c>
      <c r="E83" s="618" t="str">
        <f>InpC!E$57</f>
        <v>CPI(H): Fin year average - inflate from base year 2017-18 average</v>
      </c>
      <c r="F83" s="727">
        <f>InpC!F$57</f>
        <v>1.1476732911210807</v>
      </c>
      <c r="G83" s="714" t="str">
        <f>InpC!G$57</f>
        <v>factor</v>
      </c>
      <c r="H83" s="714">
        <f>InpC!H$57</f>
        <v>0</v>
      </c>
      <c r="K83" s="111"/>
    </row>
    <row r="84" spans="1:21" s="42" customFormat="1" ht="12.75" customHeight="1" outlineLevel="1">
      <c r="A84" s="51"/>
      <c r="B84" s="51"/>
      <c r="C84" s="147"/>
      <c r="D84" s="692" t="str">
        <f>InpAct!D$94</f>
        <v>PR19</v>
      </c>
      <c r="E84" s="692" t="str">
        <f>InpAct!E$94</f>
        <v>Totex - net of grants and contributions - WWN (post sensi adj) - nominal</v>
      </c>
      <c r="F84" s="183">
        <f>InpAct!F$94</f>
        <v>0</v>
      </c>
      <c r="G84" s="183" t="str">
        <f>InpAct!G$94</f>
        <v>£m</v>
      </c>
      <c r="H84" s="112">
        <f>InpAct!H$94</f>
        <v>855.60094786309423</v>
      </c>
      <c r="I84" s="179"/>
      <c r="J84" s="89"/>
      <c r="K84" s="89"/>
    </row>
    <row r="85" spans="1:21" s="42" customFormat="1" ht="12.75" customHeight="1" outlineLevel="1">
      <c r="A85" s="51"/>
      <c r="B85" s="51"/>
      <c r="C85" s="147"/>
      <c r="D85" s="617" t="str">
        <f>InpC!$F$27</f>
        <v>PR19</v>
      </c>
      <c r="E85" s="720" t="s">
        <v>423</v>
      </c>
      <c r="F85" s="182"/>
      <c r="G85" s="182" t="s">
        <v>2</v>
      </c>
      <c r="H85" s="85">
        <f>H84 / $F83</f>
        <v>745.50915707667843</v>
      </c>
      <c r="I85" s="179"/>
      <c r="J85" s="89"/>
      <c r="K85" s="89"/>
    </row>
    <row r="86" spans="1:21" s="42" customFormat="1" ht="12.75" customHeight="1" outlineLevel="1">
      <c r="A86" s="51"/>
      <c r="B86" s="51"/>
      <c r="C86" s="147"/>
      <c r="D86" s="692"/>
      <c r="E86" s="692"/>
      <c r="F86" s="183"/>
      <c r="G86" s="183"/>
      <c r="H86" s="112"/>
      <c r="I86" s="57"/>
      <c r="J86" s="89"/>
      <c r="K86" s="89"/>
    </row>
    <row r="87" spans="1:21" s="42" customFormat="1" ht="12.75" customHeight="1" outlineLevel="1">
      <c r="A87" s="51"/>
      <c r="B87" s="51"/>
      <c r="C87" s="147"/>
      <c r="D87" s="618" t="str">
        <f>InpC!D$57</f>
        <v>PR19</v>
      </c>
      <c r="E87" s="618" t="str">
        <f>InpC!E$57</f>
        <v>CPI(H): Fin year average - inflate from base year 2017-18 average</v>
      </c>
      <c r="F87" s="727">
        <f>InpC!F$57</f>
        <v>1.1476732911210807</v>
      </c>
      <c r="G87" s="714" t="str">
        <f>InpC!G$57</f>
        <v>factor</v>
      </c>
      <c r="H87" s="714">
        <f>InpC!H$57</f>
        <v>0</v>
      </c>
      <c r="K87" s="111"/>
    </row>
    <row r="88" spans="1:21" s="42" customFormat="1" ht="12.75" customHeight="1" outlineLevel="1">
      <c r="A88" s="51"/>
      <c r="B88" s="51"/>
      <c r="C88" s="147"/>
      <c r="D88" s="112" t="str">
        <f>InpAct!D$98</f>
        <v>PR19</v>
      </c>
      <c r="E88" s="112" t="str">
        <f>InpAct!E$98</f>
        <v>Wastewater network: PAYG Totex - nominal</v>
      </c>
      <c r="F88" s="112">
        <f>InpAct!F$98</f>
        <v>0</v>
      </c>
      <c r="G88" s="183" t="str">
        <f>InpAct!G$98</f>
        <v>£m</v>
      </c>
      <c r="H88" s="112">
        <f>InpAct!H$98</f>
        <v>351.37021019701632</v>
      </c>
      <c r="I88" s="271"/>
      <c r="J88" s="89"/>
      <c r="K88" s="89"/>
    </row>
    <row r="89" spans="1:21" ht="12.75" customHeight="1" outlineLevel="1">
      <c r="A89" s="25"/>
      <c r="B89" s="25"/>
      <c r="C89" s="26"/>
      <c r="D89" s="617" t="str">
        <f>InpC!$F$27</f>
        <v>PR19</v>
      </c>
      <c r="E89" s="86" t="s">
        <v>424</v>
      </c>
      <c r="F89" s="125"/>
      <c r="G89" s="125" t="s">
        <v>2</v>
      </c>
      <c r="H89" s="85">
        <f>H88 / $F87</f>
        <v>306.15874126842112</v>
      </c>
      <c r="I89" s="83"/>
      <c r="J89" s="83"/>
      <c r="K89" s="83"/>
    </row>
    <row r="90" spans="1:21" ht="12.75" customHeight="1" outlineLevel="1">
      <c r="A90" s="25"/>
      <c r="B90" s="25"/>
      <c r="C90" s="26"/>
      <c r="D90" s="278"/>
      <c r="E90" s="161"/>
      <c r="F90" s="9"/>
      <c r="G90" s="9"/>
      <c r="H90" s="693"/>
      <c r="J90" s="82"/>
      <c r="K90" s="82"/>
    </row>
    <row r="91" spans="1:21" s="42" customFormat="1" ht="12.75" customHeight="1" outlineLevel="1">
      <c r="A91" s="51"/>
      <c r="B91" s="51"/>
      <c r="C91" s="147"/>
      <c r="D91" s="618" t="str">
        <f>InpC!D$57</f>
        <v>PR19</v>
      </c>
      <c r="E91" s="618" t="str">
        <f>InpC!E$57</f>
        <v>CPI(H): Fin year average - inflate from base year 2017-18 average</v>
      </c>
      <c r="F91" s="727">
        <f>InpC!F$57</f>
        <v>1.1476732911210807</v>
      </c>
      <c r="G91" s="714" t="str">
        <f>InpC!G$57</f>
        <v>factor</v>
      </c>
      <c r="H91" s="714">
        <f>InpC!H$57</f>
        <v>0</v>
      </c>
      <c r="K91" s="111"/>
    </row>
    <row r="92" spans="1:21" s="42" customFormat="1" ht="12.75" customHeight="1" outlineLevel="1">
      <c r="A92" s="51"/>
      <c r="B92" s="51"/>
      <c r="C92" s="147"/>
      <c r="D92" s="692" t="str">
        <f>InpAct!D$95</f>
        <v>PR19</v>
      </c>
      <c r="E92" s="692" t="str">
        <f>InpAct!E$95</f>
        <v>Totex - net of grants and contributions - BR (post sensi adj) - nominal</v>
      </c>
      <c r="F92" s="183">
        <f>InpAct!F$95</f>
        <v>0</v>
      </c>
      <c r="G92" s="183" t="str">
        <f>InpAct!G$95</f>
        <v>£m</v>
      </c>
      <c r="H92" s="112">
        <f>InpAct!H$95</f>
        <v>125.41159438266808</v>
      </c>
      <c r="I92" s="45"/>
      <c r="J92" s="89"/>
      <c r="K92" s="89"/>
    </row>
    <row r="93" spans="1:21" s="42" customFormat="1" ht="12.75" customHeight="1" outlineLevel="1">
      <c r="A93" s="51"/>
      <c r="B93" s="51"/>
      <c r="C93" s="147"/>
      <c r="D93" s="617" t="str">
        <f>InpC!$F$27</f>
        <v>PR19</v>
      </c>
      <c r="E93" s="720" t="s">
        <v>425</v>
      </c>
      <c r="F93" s="182"/>
      <c r="G93" s="182" t="s">
        <v>2</v>
      </c>
      <c r="H93" s="85">
        <f>H92 / $F91</f>
        <v>109.27464754378171</v>
      </c>
      <c r="I93" s="45"/>
      <c r="J93" s="89"/>
      <c r="K93" s="89"/>
    </row>
    <row r="94" spans="1:21" s="42" customFormat="1" ht="12.75" customHeight="1" outlineLevel="1">
      <c r="A94" s="51"/>
      <c r="B94" s="51"/>
      <c r="C94" s="147"/>
      <c r="D94" s="692"/>
      <c r="E94" s="692"/>
      <c r="F94" s="183"/>
      <c r="G94" s="183"/>
      <c r="H94" s="112"/>
      <c r="I94" s="45"/>
      <c r="J94" s="89"/>
      <c r="K94" s="89"/>
    </row>
    <row r="95" spans="1:21" s="42" customFormat="1" ht="12.75" customHeight="1" outlineLevel="1">
      <c r="A95" s="51"/>
      <c r="B95" s="51"/>
      <c r="C95" s="147"/>
      <c r="D95" s="618" t="str">
        <f>InpC!D$57</f>
        <v>PR19</v>
      </c>
      <c r="E95" s="618" t="str">
        <f>InpC!E$57</f>
        <v>CPI(H): Fin year average - inflate from base year 2017-18 average</v>
      </c>
      <c r="F95" s="727">
        <f>InpC!F$57</f>
        <v>1.1476732911210807</v>
      </c>
      <c r="G95" s="714" t="str">
        <f>InpC!G$57</f>
        <v>factor</v>
      </c>
      <c r="H95" s="714">
        <f>InpC!H$57</f>
        <v>0</v>
      </c>
      <c r="K95" s="111"/>
    </row>
    <row r="96" spans="1:21" s="42" customFormat="1" ht="12.75" customHeight="1" outlineLevel="1">
      <c r="A96" s="51"/>
      <c r="B96" s="51"/>
      <c r="C96" s="147"/>
      <c r="D96" s="112" t="str">
        <f>InpAct!D$99</f>
        <v>PR19</v>
      </c>
      <c r="E96" s="112" t="str">
        <f>InpAct!E$99</f>
        <v>Bio resources: PAYG Totex - nominal</v>
      </c>
      <c r="F96" s="112">
        <f>InpAct!F$99</f>
        <v>0</v>
      </c>
      <c r="G96" s="183" t="str">
        <f>InpAct!G$99</f>
        <v>£m</v>
      </c>
      <c r="H96" s="112">
        <f>InpAct!H$99</f>
        <v>54.774937515074328</v>
      </c>
      <c r="I96" s="271"/>
      <c r="J96" s="89"/>
      <c r="K96" s="89"/>
    </row>
    <row r="97" spans="1:21" ht="12.75" customHeight="1" outlineLevel="1">
      <c r="A97" s="25"/>
      <c r="B97" s="25"/>
      <c r="C97" s="26"/>
      <c r="D97" s="617" t="str">
        <f>InpC!$F$27</f>
        <v>PR19</v>
      </c>
      <c r="E97" s="86" t="s">
        <v>426</v>
      </c>
      <c r="F97" s="9"/>
      <c r="G97" s="9" t="s">
        <v>2</v>
      </c>
      <c r="H97" s="85">
        <f>H96 / $F95</f>
        <v>47.726942797081712</v>
      </c>
      <c r="J97" s="82"/>
      <c r="K97" s="82"/>
    </row>
    <row r="98" spans="1:21" ht="12.75" customHeight="1" outlineLevel="1">
      <c r="A98" s="25"/>
      <c r="B98" s="25"/>
      <c r="C98" s="26"/>
      <c r="D98" s="278"/>
      <c r="E98" s="161"/>
      <c r="F98" s="9"/>
      <c r="G98" s="9"/>
      <c r="H98" s="693"/>
      <c r="J98" s="82"/>
      <c r="K98" s="82"/>
    </row>
    <row r="99" spans="1:21" ht="12.75" customHeight="1" outlineLevel="1">
      <c r="A99" s="25"/>
      <c r="B99" s="25"/>
      <c r="C99" s="26"/>
      <c r="D99" s="161" t="str">
        <f>D$85</f>
        <v>PR19</v>
      </c>
      <c r="E99" s="161" t="str">
        <f t="shared" ref="E99:H99" si="14">E$85</f>
        <v>Totex - net of grants and contributions - WWN (post sensi adj) - 2017/18 year average CPIH deflated</v>
      </c>
      <c r="F99" s="9">
        <f t="shared" si="14"/>
        <v>0</v>
      </c>
      <c r="G99" s="9" t="str">
        <f t="shared" si="14"/>
        <v>£m</v>
      </c>
      <c r="H99" s="284">
        <f t="shared" si="14"/>
        <v>745.50915707667843</v>
      </c>
      <c r="J99" s="82"/>
      <c r="K99" s="82"/>
    </row>
    <row r="100" spans="1:21" ht="12.75" customHeight="1" outlineLevel="1">
      <c r="A100" s="25"/>
      <c r="B100" s="25"/>
      <c r="C100" s="26"/>
      <c r="D100" s="161" t="str">
        <f>D$93</f>
        <v>PR19</v>
      </c>
      <c r="E100" s="161" t="str">
        <f t="shared" ref="E100:H100" si="15">E$93</f>
        <v>Totex - net of grants and contributions - BR (post sensi adj) - 2017/18 year average CPIH deflated</v>
      </c>
      <c r="F100" s="9">
        <f t="shared" si="15"/>
        <v>0</v>
      </c>
      <c r="G100" s="9" t="str">
        <f t="shared" si="15"/>
        <v>£m</v>
      </c>
      <c r="H100" s="284">
        <f t="shared" si="15"/>
        <v>109.27464754378171</v>
      </c>
      <c r="J100" s="82"/>
      <c r="K100" s="82"/>
    </row>
    <row r="101" spans="1:21" ht="12.75" customHeight="1" outlineLevel="1">
      <c r="A101" s="25"/>
      <c r="B101" s="25"/>
      <c r="C101" s="26"/>
      <c r="D101" s="616" t="str">
        <f>InpC!$F$27</f>
        <v>PR19</v>
      </c>
      <c r="E101" s="715" t="s">
        <v>427</v>
      </c>
      <c r="F101" s="716"/>
      <c r="G101" s="716" t="s">
        <v>2</v>
      </c>
      <c r="H101" s="602">
        <f>SUM(H99:H100)</f>
        <v>854.78380462046016</v>
      </c>
      <c r="J101" s="82"/>
      <c r="K101" s="82"/>
    </row>
    <row r="102" spans="1:21" ht="12.75" customHeight="1" outlineLevel="1">
      <c r="A102" s="25"/>
      <c r="B102" s="18"/>
      <c r="C102" s="19"/>
      <c r="D102" s="91"/>
      <c r="E102" s="91"/>
      <c r="F102" s="128"/>
      <c r="G102" s="128"/>
      <c r="H102" s="10"/>
      <c r="J102" s="82"/>
      <c r="K102" s="82"/>
    </row>
    <row r="103" spans="1:21" ht="12.75" customHeight="1" outlineLevel="1">
      <c r="A103" s="25"/>
      <c r="B103" s="18"/>
      <c r="C103" s="19"/>
      <c r="D103" s="91" t="str">
        <f>D$89</f>
        <v>PR19</v>
      </c>
      <c r="E103" s="91" t="str">
        <f t="shared" ref="E103:H103" si="16">E$89</f>
        <v>Wastewater network: PAYG Totex - 2017/18 year average CPIH deflated</v>
      </c>
      <c r="F103" s="9">
        <f t="shared" si="16"/>
        <v>0</v>
      </c>
      <c r="G103" s="9" t="str">
        <f t="shared" si="16"/>
        <v>£m</v>
      </c>
      <c r="H103" s="284">
        <f t="shared" si="16"/>
        <v>306.15874126842112</v>
      </c>
      <c r="J103" s="82"/>
      <c r="K103" s="82"/>
    </row>
    <row r="104" spans="1:21" ht="12.75" customHeight="1" outlineLevel="1">
      <c r="A104" s="25"/>
      <c r="B104" s="18"/>
      <c r="C104" s="19"/>
      <c r="D104" s="91" t="str">
        <f>D$97</f>
        <v>PR19</v>
      </c>
      <c r="E104" s="91" t="str">
        <f t="shared" ref="E104:H104" si="17">E$97</f>
        <v>Bio resources: PAYG Totex - 2017/18 year average CPIH deflated</v>
      </c>
      <c r="F104" s="9">
        <f t="shared" si="17"/>
        <v>0</v>
      </c>
      <c r="G104" s="9" t="str">
        <f t="shared" si="17"/>
        <v>£m</v>
      </c>
      <c r="H104" s="284">
        <f t="shared" si="17"/>
        <v>47.726942797081712</v>
      </c>
      <c r="J104" s="82"/>
      <c r="K104" s="82"/>
    </row>
    <row r="105" spans="1:21" ht="12.75" customHeight="1" outlineLevel="1">
      <c r="A105" s="25"/>
      <c r="B105" s="18"/>
      <c r="C105" s="19"/>
      <c r="D105" s="616" t="str">
        <f>InpC!$F$27</f>
        <v>PR19</v>
      </c>
      <c r="E105" s="97" t="s">
        <v>428</v>
      </c>
      <c r="F105" s="130"/>
      <c r="G105" s="130" t="s">
        <v>2</v>
      </c>
      <c r="H105" s="98">
        <f>SUM(H103:H104)</f>
        <v>353.88568406550286</v>
      </c>
      <c r="J105" s="82"/>
      <c r="K105" s="82"/>
    </row>
    <row r="106" spans="1:21" ht="12.75" customHeight="1" outlineLevel="1">
      <c r="A106" s="25"/>
      <c r="B106" s="18"/>
      <c r="C106" s="19"/>
      <c r="D106" s="91"/>
      <c r="E106" s="91"/>
      <c r="F106" s="128"/>
      <c r="G106" s="128"/>
      <c r="H106" s="52"/>
      <c r="J106" s="82"/>
      <c r="K106" s="82"/>
    </row>
    <row r="107" spans="1:21" customFormat="1" ht="14.4" outlineLevel="1">
      <c r="A107" s="106"/>
      <c r="B107" s="270" t="s">
        <v>115</v>
      </c>
      <c r="C107" s="164"/>
      <c r="D107" s="109"/>
      <c r="F107" s="274"/>
      <c r="G107" s="274"/>
      <c r="H107" s="271"/>
      <c r="I107" s="45"/>
      <c r="J107" s="271"/>
      <c r="K107" s="271"/>
      <c r="L107" s="271"/>
      <c r="M107" s="271"/>
      <c r="N107" s="271"/>
      <c r="O107" s="271"/>
      <c r="P107" s="271"/>
      <c r="Q107" s="271"/>
      <c r="R107" s="271"/>
      <c r="S107" s="271"/>
      <c r="T107" s="271"/>
      <c r="U107" s="271"/>
    </row>
    <row r="108" spans="1:21" ht="12.75" customHeight="1" outlineLevel="1">
      <c r="A108" s="25"/>
      <c r="B108" s="18"/>
      <c r="C108" s="19"/>
      <c r="D108" s="86"/>
      <c r="E108" s="110" t="str">
        <f>InpC!E$36</f>
        <v>Company type switch</v>
      </c>
      <c r="F108" s="412">
        <f>InpC!F$36</f>
        <v>0</v>
      </c>
      <c r="G108" s="110" t="str">
        <f>InpC!G$36</f>
        <v xml:space="preserve">0 = WaSC, 1 = WoC </v>
      </c>
      <c r="H108" s="110"/>
      <c r="J108" s="117"/>
      <c r="K108" s="83"/>
    </row>
    <row r="109" spans="1:21" ht="12.75" customHeight="1" outlineLevel="1">
      <c r="A109" s="25"/>
      <c r="B109" s="18"/>
      <c r="C109" s="19"/>
      <c r="D109" s="86" t="str">
        <f>D$80</f>
        <v>PR14</v>
      </c>
      <c r="E109" s="86" t="str">
        <f t="shared" ref="E109:H109" si="18">E$80</f>
        <v>PAYG Totex - 2017/18 year average CPIH deflated - Wastewater</v>
      </c>
      <c r="F109" s="128">
        <f t="shared" si="18"/>
        <v>0</v>
      </c>
      <c r="G109" s="128" t="str">
        <f t="shared" si="18"/>
        <v>£m</v>
      </c>
      <c r="H109" s="52">
        <f t="shared" si="18"/>
        <v>382.05663400796391</v>
      </c>
      <c r="J109" s="82"/>
      <c r="K109" s="82"/>
    </row>
    <row r="110" spans="1:21" ht="12.75" customHeight="1" outlineLevel="1">
      <c r="A110" s="25"/>
      <c r="B110" s="18"/>
      <c r="C110" s="19"/>
      <c r="D110" s="87" t="str">
        <f>D$105</f>
        <v>PR19</v>
      </c>
      <c r="E110" s="87" t="str">
        <f t="shared" ref="E110:H110" si="19">E$105</f>
        <v>PAYG Totex - wastewater (post sensi adj) - 2017/18 year average CPIH deflated</v>
      </c>
      <c r="F110" s="128">
        <f t="shared" si="19"/>
        <v>0</v>
      </c>
      <c r="G110" s="128" t="str">
        <f t="shared" si="19"/>
        <v>£m</v>
      </c>
      <c r="H110" s="52">
        <f t="shared" si="19"/>
        <v>353.88568406550286</v>
      </c>
      <c r="J110" s="82"/>
      <c r="K110" s="82"/>
    </row>
    <row r="111" spans="1:21" s="79" customFormat="1" ht="12.75" customHeight="1" outlineLevel="1">
      <c r="D111" s="91"/>
      <c r="E111" s="91" t="s">
        <v>40</v>
      </c>
      <c r="F111" s="128"/>
      <c r="G111" s="128" t="s">
        <v>2</v>
      </c>
      <c r="H111" s="52">
        <f>IF(F$108 = 1, 0, H110 - H109)</f>
        <v>-28.17094994246105</v>
      </c>
      <c r="I111" s="45"/>
      <c r="J111" s="82"/>
      <c r="K111" s="82"/>
      <c r="L111" s="78"/>
      <c r="M111" s="78"/>
      <c r="N111" s="78"/>
      <c r="O111" s="78"/>
      <c r="P111" s="78"/>
      <c r="Q111" s="78"/>
      <c r="R111" s="78"/>
      <c r="S111" s="78"/>
      <c r="T111" s="78"/>
      <c r="U111" s="78"/>
    </row>
    <row r="112" spans="1:21" s="79" customFormat="1" ht="12.75" customHeight="1" outlineLevel="1">
      <c r="D112" s="91"/>
      <c r="E112" s="91"/>
      <c r="F112" s="128"/>
      <c r="G112" s="128"/>
      <c r="H112" s="52"/>
      <c r="I112" s="45"/>
      <c r="J112" s="82"/>
      <c r="K112" s="82"/>
      <c r="L112" s="78"/>
      <c r="M112" s="78"/>
      <c r="N112" s="78"/>
      <c r="O112" s="78"/>
      <c r="P112" s="78"/>
      <c r="Q112" s="78"/>
      <c r="R112" s="78"/>
      <c r="S112" s="78"/>
      <c r="T112" s="78"/>
      <c r="U112" s="78"/>
    </row>
    <row r="113" spans="1:21" customFormat="1" ht="14.4" outlineLevel="1">
      <c r="A113" s="106"/>
      <c r="B113" s="270" t="s">
        <v>410</v>
      </c>
      <c r="C113" s="164"/>
      <c r="D113" s="109"/>
      <c r="F113" s="274"/>
      <c r="G113" s="274"/>
      <c r="H113" s="271"/>
      <c r="I113" s="45"/>
      <c r="J113" s="82"/>
      <c r="K113" s="271"/>
      <c r="L113" s="271"/>
      <c r="M113" s="271"/>
      <c r="N113" s="271"/>
      <c r="O113" s="271"/>
      <c r="P113" s="271"/>
      <c r="Q113" s="271"/>
      <c r="R113" s="271"/>
      <c r="S113" s="271"/>
      <c r="T113" s="271"/>
      <c r="U113" s="271"/>
    </row>
    <row r="114" spans="1:21" ht="12.75" customHeight="1" outlineLevel="1">
      <c r="A114" s="25"/>
      <c r="B114" s="18"/>
      <c r="C114" s="19"/>
      <c r="D114" s="86"/>
      <c r="E114" s="110" t="str">
        <f>InpC!E$36</f>
        <v>Company type switch</v>
      </c>
      <c r="F114" s="412">
        <f>InpC!F$36</f>
        <v>0</v>
      </c>
      <c r="G114" s="110" t="str">
        <f>InpC!G$36</f>
        <v xml:space="preserve">0 = WaSC, 1 = WoC </v>
      </c>
      <c r="H114" s="110"/>
      <c r="J114" s="117"/>
      <c r="K114" s="83"/>
    </row>
    <row r="115" spans="1:21" ht="12.75" customHeight="1" outlineLevel="1">
      <c r="A115" s="25"/>
      <c r="B115" s="18"/>
      <c r="C115" s="19"/>
      <c r="D115" s="91" t="str">
        <f>D$101</f>
        <v>PR19</v>
      </c>
      <c r="E115" s="91" t="str">
        <f t="shared" ref="E115:H115" si="20">E$101</f>
        <v>Totex - net of grants and contributions - Wastewater (post sensi adj) - 2017/18 year average CPIH deflated</v>
      </c>
      <c r="F115" s="128">
        <f t="shared" si="20"/>
        <v>0</v>
      </c>
      <c r="G115" s="128" t="str">
        <f t="shared" si="20"/>
        <v>£m</v>
      </c>
      <c r="H115" s="52">
        <f t="shared" si="20"/>
        <v>854.78380462046016</v>
      </c>
      <c r="J115" s="82"/>
      <c r="K115" s="82"/>
    </row>
    <row r="116" spans="1:21" ht="12.75" customHeight="1" outlineLevel="1">
      <c r="A116" s="25"/>
      <c r="B116" s="18"/>
      <c r="C116" s="19"/>
      <c r="D116" s="91" t="str">
        <f>D$105</f>
        <v>PR19</v>
      </c>
      <c r="E116" s="91" t="str">
        <f t="shared" ref="E116:H116" si="21">E$105</f>
        <v>PAYG Totex - wastewater (post sensi adj) - 2017/18 year average CPIH deflated</v>
      </c>
      <c r="F116" s="128">
        <f t="shared" si="21"/>
        <v>0</v>
      </c>
      <c r="G116" s="128" t="str">
        <f t="shared" si="21"/>
        <v>£m</v>
      </c>
      <c r="H116" s="52">
        <f t="shared" si="21"/>
        <v>353.88568406550286</v>
      </c>
      <c r="J116" s="82"/>
      <c r="K116" s="82"/>
    </row>
    <row r="117" spans="1:21" ht="12.75" customHeight="1" outlineLevel="1">
      <c r="A117" s="25"/>
      <c r="B117" s="18"/>
      <c r="C117" s="19"/>
      <c r="D117" s="110" t="str">
        <f>InpC!$F$27</f>
        <v>PR19</v>
      </c>
      <c r="E117" s="91" t="s">
        <v>47</v>
      </c>
      <c r="F117" s="128"/>
      <c r="G117" s="128" t="s">
        <v>3</v>
      </c>
      <c r="H117" s="99">
        <f xml:space="preserve"> IFERROR( IF(F$114 = 1, 0, H116 / H115), 0)</f>
        <v>0.4140060704854307</v>
      </c>
      <c r="J117" s="82"/>
      <c r="K117" s="82"/>
    </row>
    <row r="118" spans="1:21" ht="12.75" customHeight="1" outlineLevel="1">
      <c r="A118" s="25"/>
      <c r="B118" s="18"/>
      <c r="C118" s="19"/>
      <c r="D118" s="91"/>
      <c r="E118" s="91"/>
      <c r="F118" s="128"/>
      <c r="G118" s="128"/>
      <c r="H118" s="52"/>
      <c r="J118" s="82"/>
      <c r="K118" s="82"/>
    </row>
    <row r="119" spans="1:21" ht="12.75" customHeight="1" outlineLevel="1">
      <c r="A119" s="25"/>
      <c r="B119" s="18"/>
      <c r="C119" s="19"/>
      <c r="D119" s="86"/>
      <c r="E119" s="110" t="str">
        <f>InpC!E$36</f>
        <v>Company type switch</v>
      </c>
      <c r="F119" s="412">
        <f>InpC!F$36</f>
        <v>0</v>
      </c>
      <c r="G119" s="110" t="str">
        <f>InpC!G$36</f>
        <v xml:space="preserve">0 = WaSC, 1 = WoC </v>
      </c>
      <c r="H119" s="110"/>
      <c r="J119" s="117"/>
      <c r="K119" s="83"/>
    </row>
    <row r="120" spans="1:21" ht="12.75" customHeight="1" outlineLevel="1">
      <c r="A120" s="45"/>
      <c r="B120" s="45"/>
      <c r="C120" s="45"/>
      <c r="D120" s="87" t="str">
        <f>D$76</f>
        <v>PR14</v>
      </c>
      <c r="E120" s="87" t="str">
        <f t="shared" ref="E120:H120" si="22">E$76</f>
        <v>Totex - 2017/18 year average CPIH deflated - Wastewater</v>
      </c>
      <c r="F120" s="128">
        <f t="shared" si="22"/>
        <v>0</v>
      </c>
      <c r="G120" s="128" t="str">
        <f t="shared" si="22"/>
        <v>£m</v>
      </c>
      <c r="H120" s="52">
        <f t="shared" si="22"/>
        <v>707.3547779209855</v>
      </c>
      <c r="J120" s="82"/>
      <c r="K120" s="82"/>
    </row>
    <row r="121" spans="1:21" ht="12.75" customHeight="1" outlineLevel="1">
      <c r="A121" s="45"/>
      <c r="B121" s="45"/>
      <c r="C121" s="45"/>
      <c r="D121" s="87" t="str">
        <f>D$117</f>
        <v>PR19</v>
      </c>
      <c r="E121" s="87" t="str">
        <f t="shared" ref="E121:H121" si="23">E$117</f>
        <v>Weighted average PAYG% - active - Wastewater</v>
      </c>
      <c r="F121" s="88">
        <f t="shared" si="23"/>
        <v>0</v>
      </c>
      <c r="G121" s="21" t="str">
        <f t="shared" si="23"/>
        <v>%</v>
      </c>
      <c r="H121" s="88">
        <f t="shared" si="23"/>
        <v>0.4140060704854307</v>
      </c>
      <c r="J121" s="82"/>
      <c r="K121" s="82"/>
    </row>
    <row r="122" spans="1:21" s="79" customFormat="1" ht="12.75" customHeight="1" outlineLevel="1">
      <c r="D122" s="92"/>
      <c r="E122" s="92" t="s">
        <v>41</v>
      </c>
      <c r="F122" s="131"/>
      <c r="G122" s="131" t="s">
        <v>2</v>
      </c>
      <c r="H122" s="84">
        <f>IF(F$119 = 1, 0, H121 * H120)</f>
        <v>292.8491720461617</v>
      </c>
      <c r="I122" s="45"/>
      <c r="J122" s="82"/>
      <c r="K122" s="82"/>
      <c r="L122" s="78"/>
      <c r="M122" s="78"/>
      <c r="N122" s="78"/>
      <c r="O122" s="78"/>
      <c r="P122" s="78"/>
      <c r="Q122" s="78"/>
      <c r="R122" s="78"/>
      <c r="S122" s="78"/>
      <c r="T122" s="78"/>
      <c r="U122" s="78"/>
    </row>
    <row r="123" spans="1:21" ht="12.75" customHeight="1" outlineLevel="1">
      <c r="A123" s="45"/>
      <c r="B123" s="45"/>
      <c r="C123" s="45"/>
      <c r="D123" s="87"/>
      <c r="E123" s="86"/>
      <c r="F123" s="125"/>
      <c r="G123" s="125"/>
      <c r="H123" s="45"/>
      <c r="J123" s="82"/>
      <c r="K123" s="82"/>
    </row>
    <row r="124" spans="1:21" customFormat="1" ht="14.4" outlineLevel="1">
      <c r="A124" s="106"/>
      <c r="B124" s="270" t="s">
        <v>268</v>
      </c>
      <c r="C124" s="164"/>
      <c r="D124" s="109"/>
      <c r="F124" s="274"/>
      <c r="G124" s="274"/>
      <c r="H124" s="271"/>
      <c r="I124" s="45"/>
      <c r="J124" s="271"/>
      <c r="K124" s="271"/>
      <c r="L124" s="271"/>
      <c r="M124" s="271"/>
      <c r="N124" s="271"/>
      <c r="O124" s="271"/>
      <c r="P124" s="271"/>
      <c r="Q124" s="271"/>
      <c r="R124" s="271"/>
      <c r="S124" s="271"/>
      <c r="T124" s="271"/>
      <c r="U124" s="271"/>
    </row>
    <row r="125" spans="1:21" ht="12.75" customHeight="1" outlineLevel="1">
      <c r="A125" s="25"/>
      <c r="B125" s="18"/>
      <c r="C125" s="19"/>
      <c r="D125" s="86"/>
      <c r="E125" s="110" t="str">
        <f>InpC!E$36</f>
        <v>Company type switch</v>
      </c>
      <c r="F125" s="412">
        <f>InpC!F$36</f>
        <v>0</v>
      </c>
      <c r="G125" s="110" t="str">
        <f>InpC!G$36</f>
        <v xml:space="preserve">0 = WaSC, 1 = WoC </v>
      </c>
      <c r="H125" s="110"/>
      <c r="K125" s="83"/>
    </row>
    <row r="126" spans="1:21" ht="12.75" customHeight="1" outlineLevel="1">
      <c r="A126" s="25"/>
      <c r="B126" s="79"/>
      <c r="C126" s="79"/>
      <c r="D126" s="87" t="str">
        <f>D$80</f>
        <v>PR14</v>
      </c>
      <c r="E126" s="87" t="str">
        <f t="shared" ref="E126:H126" si="24">E$80</f>
        <v>PAYG Totex - 2017/18 year average CPIH deflated - Wastewater</v>
      </c>
      <c r="F126" s="21">
        <f t="shared" si="24"/>
        <v>0</v>
      </c>
      <c r="G126" s="21" t="str">
        <f t="shared" si="24"/>
        <v>£m</v>
      </c>
      <c r="H126" s="59">
        <f t="shared" si="24"/>
        <v>382.05663400796391</v>
      </c>
      <c r="K126" s="82"/>
    </row>
    <row r="127" spans="1:21" ht="12.75" customHeight="1" outlineLevel="1">
      <c r="A127" s="77"/>
      <c r="B127" s="18"/>
      <c r="C127" s="19"/>
      <c r="D127" s="87"/>
      <c r="E127" s="87" t="str">
        <f>E$122</f>
        <v>PR14 PAYG Totex with PR19 PAYG% - Wastewater</v>
      </c>
      <c r="F127" s="21">
        <f t="shared" ref="F127:H127" si="25">F$122</f>
        <v>0</v>
      </c>
      <c r="G127" s="21" t="str">
        <f t="shared" si="25"/>
        <v>£m</v>
      </c>
      <c r="H127" s="59">
        <f t="shared" si="25"/>
        <v>292.8491720461617</v>
      </c>
      <c r="K127" s="82"/>
    </row>
    <row r="128" spans="1:21" ht="12.75" customHeight="1" outlineLevel="1">
      <c r="A128" s="25"/>
      <c r="B128" s="45"/>
      <c r="C128" s="45"/>
      <c r="D128" s="139"/>
      <c r="E128" s="138" t="s">
        <v>42</v>
      </c>
      <c r="F128" s="96"/>
      <c r="G128" s="96" t="s">
        <v>2</v>
      </c>
      <c r="H128" s="84">
        <f>IF(F$125 = 1, 0, H127 - H126)</f>
        <v>-89.20746196180221</v>
      </c>
      <c r="K128" s="82"/>
    </row>
    <row r="129" spans="1:21" ht="12.75" customHeight="1" outlineLevel="1">
      <c r="A129" s="25"/>
      <c r="B129" s="45"/>
      <c r="C129" s="45"/>
      <c r="D129" s="86"/>
      <c r="E129" s="138"/>
      <c r="F129" s="96"/>
      <c r="G129" s="96"/>
      <c r="H129" s="60"/>
      <c r="J129" s="82"/>
      <c r="K129" s="82"/>
    </row>
    <row r="130" spans="1:21" customFormat="1" ht="14.4" outlineLevel="1">
      <c r="A130" s="106"/>
      <c r="B130" s="270" t="s">
        <v>409</v>
      </c>
      <c r="C130" s="164"/>
      <c r="D130" s="109"/>
      <c r="F130" s="274"/>
      <c r="G130" s="274"/>
      <c r="H130" s="271"/>
      <c r="I130" s="45"/>
      <c r="J130" s="271"/>
      <c r="K130" s="271"/>
      <c r="L130" s="271"/>
      <c r="M130" s="271"/>
      <c r="N130" s="271"/>
      <c r="O130" s="271"/>
      <c r="P130" s="271"/>
      <c r="Q130" s="271"/>
      <c r="R130" s="271"/>
      <c r="S130" s="271"/>
      <c r="T130" s="271"/>
      <c r="U130" s="271"/>
    </row>
    <row r="131" spans="1:21" ht="12.75" customHeight="1" outlineLevel="1">
      <c r="A131" s="25"/>
      <c r="B131" s="18"/>
      <c r="C131" s="19"/>
      <c r="D131" s="86"/>
      <c r="E131" s="110" t="str">
        <f>InpC!E$36</f>
        <v>Company type switch</v>
      </c>
      <c r="F131" s="412">
        <f>InpC!F$36</f>
        <v>0</v>
      </c>
      <c r="G131" s="110" t="str">
        <f>InpC!G$36</f>
        <v xml:space="preserve">0 = WaSC, 1 = WoC </v>
      </c>
      <c r="H131" s="110"/>
      <c r="J131" s="117"/>
      <c r="K131" s="83"/>
    </row>
    <row r="132" spans="1:21" ht="12.75" customHeight="1" outlineLevel="1">
      <c r="A132" s="25"/>
      <c r="B132" s="45"/>
      <c r="C132" s="45"/>
      <c r="D132" s="86"/>
      <c r="E132" s="138" t="str">
        <f>E$111</f>
        <v>Change in PAYG Totex - Wastewater</v>
      </c>
      <c r="F132" s="145">
        <f t="shared" ref="F132:H132" si="26">F$111</f>
        <v>0</v>
      </c>
      <c r="G132" s="145" t="str">
        <f t="shared" si="26"/>
        <v>£m</v>
      </c>
      <c r="H132" s="85">
        <f t="shared" si="26"/>
        <v>-28.17094994246105</v>
      </c>
      <c r="J132" s="82"/>
      <c r="K132" s="82"/>
    </row>
    <row r="133" spans="1:21" ht="12.75" customHeight="1" outlineLevel="1">
      <c r="A133" s="77"/>
      <c r="B133" s="45"/>
      <c r="C133" s="45"/>
      <c r="D133" s="86"/>
      <c r="E133" s="138" t="str">
        <f>E$128</f>
        <v>Change in PAYG Totex due to change in PAYG% - Wastewater</v>
      </c>
      <c r="F133" s="145">
        <f t="shared" ref="F133:H133" si="27">F$128</f>
        <v>0</v>
      </c>
      <c r="G133" s="145" t="str">
        <f t="shared" si="27"/>
        <v>£m</v>
      </c>
      <c r="H133" s="85">
        <f t="shared" si="27"/>
        <v>-89.20746196180221</v>
      </c>
      <c r="J133" s="82"/>
      <c r="K133" s="82"/>
    </row>
    <row r="134" spans="1:21" s="57" customFormat="1" ht="14.4" outlineLevel="1">
      <c r="A134" s="54"/>
      <c r="D134" s="139"/>
      <c r="E134" s="138" t="s">
        <v>43</v>
      </c>
      <c r="F134" s="96"/>
      <c r="G134" s="96" t="s">
        <v>2</v>
      </c>
      <c r="H134" s="60">
        <f>IF(F$131 = 1, 0, H132 - H133)</f>
        <v>61.03651201934116</v>
      </c>
      <c r="I134" s="45"/>
      <c r="J134" s="94"/>
      <c r="K134" s="94"/>
    </row>
    <row r="135" spans="1:21" ht="12.75" customHeight="1">
      <c r="A135" s="25"/>
      <c r="B135" s="18"/>
      <c r="C135" s="19"/>
      <c r="D135" s="91"/>
      <c r="E135" s="91"/>
      <c r="F135" s="128"/>
      <c r="G135" s="128"/>
      <c r="H135" s="52"/>
      <c r="J135" s="82"/>
      <c r="K135" s="82"/>
    </row>
    <row r="136" spans="1:21" s="57" customFormat="1" ht="14.4">
      <c r="A136" s="54"/>
      <c r="B136" s="11" t="s">
        <v>269</v>
      </c>
      <c r="E136" s="58"/>
      <c r="F136" s="96"/>
      <c r="G136" s="96"/>
      <c r="H136" s="188"/>
      <c r="I136" s="45"/>
      <c r="J136" s="94"/>
      <c r="K136" s="94"/>
    </row>
    <row r="137" spans="1:21" customFormat="1" ht="14.4">
      <c r="A137" s="106"/>
      <c r="B137" s="270" t="s">
        <v>116</v>
      </c>
      <c r="C137" s="164"/>
      <c r="D137" s="109"/>
      <c r="F137" s="274"/>
      <c r="G137" s="274"/>
      <c r="H137" s="271"/>
      <c r="I137" s="45"/>
      <c r="J137" s="271"/>
      <c r="K137" s="271"/>
      <c r="L137" s="271"/>
      <c r="M137" s="271"/>
      <c r="N137" s="271"/>
      <c r="O137" s="271"/>
      <c r="P137" s="271"/>
      <c r="Q137" s="271"/>
      <c r="R137" s="271"/>
      <c r="S137" s="271"/>
      <c r="T137" s="271"/>
      <c r="U137" s="271"/>
    </row>
    <row r="138" spans="1:21" s="57" customFormat="1" ht="14.4">
      <c r="A138" s="54"/>
      <c r="D138" s="139"/>
      <c r="E138" s="144" t="str">
        <f>E$63</f>
        <v>Change in PAYG Totex due to change in PAYG% - Water</v>
      </c>
      <c r="F138" s="145">
        <f t="shared" ref="F138:H138" si="28">F$63</f>
        <v>0</v>
      </c>
      <c r="G138" s="145" t="str">
        <f t="shared" si="28"/>
        <v>£m</v>
      </c>
      <c r="H138" s="85">
        <f t="shared" si="28"/>
        <v>-143.81793719030662</v>
      </c>
      <c r="I138" s="45"/>
      <c r="K138" s="94"/>
    </row>
    <row r="139" spans="1:21" s="57" customFormat="1" ht="14.4">
      <c r="A139" s="54"/>
      <c r="D139" s="139"/>
      <c r="E139" s="144" t="str">
        <f>E$128</f>
        <v>Change in PAYG Totex due to change in PAYG% - Wastewater</v>
      </c>
      <c r="F139" s="145">
        <f t="shared" ref="F139:H139" si="29">F$128</f>
        <v>0</v>
      </c>
      <c r="G139" s="145" t="str">
        <f t="shared" si="29"/>
        <v>£m</v>
      </c>
      <c r="H139" s="85">
        <f t="shared" si="29"/>
        <v>-89.20746196180221</v>
      </c>
      <c r="I139" s="45"/>
      <c r="K139" s="94"/>
    </row>
    <row r="140" spans="1:21" s="120" customFormat="1" ht="14.4">
      <c r="A140" s="11"/>
      <c r="D140" s="144"/>
      <c r="E140" s="296" t="s">
        <v>48</v>
      </c>
      <c r="F140" s="297"/>
      <c r="G140" s="297" t="s">
        <v>2</v>
      </c>
      <c r="H140" s="299">
        <f>SUM(H138:H139)</f>
        <v>-233.02539915210883</v>
      </c>
      <c r="I140" s="45"/>
      <c r="J140" s="120" t="s">
        <v>502</v>
      </c>
      <c r="K140" s="157"/>
    </row>
    <row r="141" spans="1:21" s="58" customFormat="1" ht="14.4">
      <c r="A141" s="35"/>
      <c r="D141" s="138"/>
      <c r="E141" s="139"/>
      <c r="F141" s="132"/>
      <c r="G141" s="132"/>
      <c r="H141" s="175"/>
      <c r="I141" s="45"/>
      <c r="J141" s="45"/>
      <c r="K141" s="100"/>
    </row>
    <row r="142" spans="1:21" s="57" customFormat="1" ht="14.4">
      <c r="A142" s="54"/>
      <c r="D142" s="139"/>
      <c r="E142" s="144" t="str">
        <f>E$68</f>
        <v>Change in PAYG Totex due to change in Totex - Water</v>
      </c>
      <c r="F142" s="145">
        <f t="shared" ref="F142:H142" si="30">F$68</f>
        <v>0</v>
      </c>
      <c r="G142" s="145" t="str">
        <f t="shared" si="30"/>
        <v>£m</v>
      </c>
      <c r="H142" s="85">
        <f t="shared" si="30"/>
        <v>98.639245751108604</v>
      </c>
      <c r="I142" s="45"/>
      <c r="K142" s="94"/>
    </row>
    <row r="143" spans="1:21" s="57" customFormat="1" ht="14.4">
      <c r="A143" s="54"/>
      <c r="D143" s="139"/>
      <c r="E143" s="144" t="str">
        <f>E$134</f>
        <v>Change in PAYG Totex due to change in Totex - Wastewater</v>
      </c>
      <c r="F143" s="145">
        <f t="shared" ref="F143:H143" si="31">F$134</f>
        <v>0</v>
      </c>
      <c r="G143" s="145" t="str">
        <f t="shared" si="31"/>
        <v>£m</v>
      </c>
      <c r="H143" s="85">
        <f t="shared" si="31"/>
        <v>61.03651201934116</v>
      </c>
      <c r="I143" s="45"/>
      <c r="K143" s="94"/>
    </row>
    <row r="144" spans="1:21" s="120" customFormat="1" ht="12.75" customHeight="1">
      <c r="A144" s="25"/>
      <c r="B144" s="18"/>
      <c r="C144" s="19"/>
      <c r="D144" s="169"/>
      <c r="E144" s="101" t="s">
        <v>49</v>
      </c>
      <c r="F144" s="297"/>
      <c r="G144" s="297" t="s">
        <v>2</v>
      </c>
      <c r="H144" s="298">
        <f>SUM(H142:H143)</f>
        <v>159.67575777044976</v>
      </c>
      <c r="I144" s="45"/>
      <c r="J144" s="120" t="s">
        <v>502</v>
      </c>
      <c r="K144" s="157"/>
    </row>
    <row r="145" spans="1:11" s="120" customFormat="1" ht="12.75" customHeight="1">
      <c r="A145" s="25"/>
      <c r="B145" s="18"/>
      <c r="C145" s="19"/>
      <c r="D145" s="169"/>
      <c r="E145" s="166"/>
      <c r="F145" s="132"/>
      <c r="G145" s="132"/>
      <c r="H145" s="292"/>
      <c r="I145" s="45"/>
      <c r="J145" s="57"/>
      <c r="K145" s="157"/>
    </row>
    <row r="146" spans="1:11" s="120" customFormat="1" ht="12.75" customHeight="1">
      <c r="A146" s="54"/>
      <c r="B146" s="11" t="s">
        <v>82</v>
      </c>
      <c r="C146" s="57"/>
      <c r="D146" s="57"/>
      <c r="E146" s="58"/>
      <c r="F146" s="96"/>
      <c r="G146" s="96"/>
      <c r="H146" s="188"/>
      <c r="I146" s="45"/>
      <c r="J146" s="57"/>
      <c r="K146" s="157"/>
    </row>
    <row r="147" spans="1:11" s="120" customFormat="1" ht="12.75" customHeight="1">
      <c r="A147" s="25"/>
      <c r="B147" s="18"/>
      <c r="C147" s="19"/>
      <c r="D147" s="169" t="str">
        <f>D$19</f>
        <v>PR14</v>
      </c>
      <c r="E147" s="169" t="str">
        <f t="shared" ref="E147:H147" si="32">E$19</f>
        <v>PAYG Totex - 2017/18 year average CPIH deflated - Water</v>
      </c>
      <c r="F147" s="231">
        <f t="shared" si="32"/>
        <v>0</v>
      </c>
      <c r="G147" s="231" t="str">
        <f t="shared" si="32"/>
        <v>£m</v>
      </c>
      <c r="H147" s="566">
        <f t="shared" si="32"/>
        <v>465.80473989310804</v>
      </c>
      <c r="I147" s="45"/>
      <c r="J147" s="57"/>
      <c r="K147" s="157"/>
    </row>
    <row r="148" spans="1:11" s="120" customFormat="1" ht="12.75" customHeight="1">
      <c r="A148" s="25"/>
      <c r="B148" s="18"/>
      <c r="C148" s="19"/>
      <c r="D148" s="169" t="str">
        <f>D$44</f>
        <v>PR19</v>
      </c>
      <c r="E148" s="169" t="str">
        <f t="shared" ref="E148:H148" si="33">E$44</f>
        <v>PAYG Totex - Water (post sensi adj) - 2017/18 year average CPIH deflated</v>
      </c>
      <c r="F148" s="231">
        <f t="shared" si="33"/>
        <v>0</v>
      </c>
      <c r="G148" s="231" t="str">
        <f t="shared" si="33"/>
        <v>£m</v>
      </c>
      <c r="H148" s="566">
        <f t="shared" si="33"/>
        <v>420.62604845391002</v>
      </c>
      <c r="I148" s="45"/>
      <c r="J148" s="57"/>
      <c r="K148" s="157"/>
    </row>
    <row r="149" spans="1:11" s="120" customFormat="1" ht="12.75" customHeight="1">
      <c r="A149" s="25"/>
      <c r="B149" s="18"/>
      <c r="C149" s="19"/>
      <c r="D149" s="169"/>
      <c r="E149" s="160" t="str">
        <f>E$138</f>
        <v>Change in PAYG Totex due to change in PAYG% - Water</v>
      </c>
      <c r="F149" s="231">
        <f t="shared" ref="F149:H149" si="34">F$138</f>
        <v>0</v>
      </c>
      <c r="G149" s="231" t="str">
        <f t="shared" si="34"/>
        <v>£m</v>
      </c>
      <c r="H149" s="566">
        <f t="shared" si="34"/>
        <v>-143.81793719030662</v>
      </c>
      <c r="I149" s="45"/>
      <c r="J149" s="57"/>
      <c r="K149" s="157"/>
    </row>
    <row r="150" spans="1:11" s="120" customFormat="1" ht="12.75" customHeight="1">
      <c r="A150" s="25"/>
      <c r="B150" s="18"/>
      <c r="C150" s="19"/>
      <c r="D150" s="169"/>
      <c r="E150" s="160" t="str">
        <f>E$142</f>
        <v>Change in PAYG Totex due to change in Totex - Water</v>
      </c>
      <c r="F150" s="231">
        <f t="shared" ref="F150:H150" si="35">F$142</f>
        <v>0</v>
      </c>
      <c r="G150" s="231" t="str">
        <f t="shared" si="35"/>
        <v>£m</v>
      </c>
      <c r="H150" s="566">
        <f t="shared" si="35"/>
        <v>98.639245751108604</v>
      </c>
      <c r="I150" s="45"/>
      <c r="J150" s="57"/>
      <c r="K150" s="157"/>
    </row>
    <row r="151" spans="1:11" s="120" customFormat="1" ht="12.75" customHeight="1">
      <c r="A151" s="25"/>
      <c r="B151" s="18"/>
      <c r="C151" s="19"/>
      <c r="D151" s="169"/>
      <c r="E151" s="301" t="s">
        <v>151</v>
      </c>
      <c r="F151" s="145"/>
      <c r="G151" s="145" t="s">
        <v>351</v>
      </c>
      <c r="H151" s="300">
        <f>IF(ABS( (H148 - H147) - (H149 + H150) ) &gt;  InpC!$F$10, 1, 0)</f>
        <v>0</v>
      </c>
      <c r="I151" s="45"/>
      <c r="J151" s="57"/>
      <c r="K151" s="157"/>
    </row>
    <row r="152" spans="1:11" s="120" customFormat="1" ht="12.75" customHeight="1">
      <c r="A152" s="25"/>
      <c r="B152" s="18"/>
      <c r="C152" s="19"/>
      <c r="D152" s="169"/>
      <c r="E152" s="301"/>
      <c r="F152" s="145"/>
      <c r="G152" s="145"/>
      <c r="H152" s="566"/>
      <c r="I152" s="45"/>
      <c r="J152" s="57"/>
      <c r="K152" s="157"/>
    </row>
    <row r="153" spans="1:11" ht="12.75" customHeight="1">
      <c r="A153" s="25"/>
      <c r="B153" s="18"/>
      <c r="C153" s="19"/>
      <c r="D153" s="86"/>
      <c r="E153" s="110" t="str">
        <f>InpC!E$36</f>
        <v>Company type switch</v>
      </c>
      <c r="F153" s="412">
        <f>InpC!F$36</f>
        <v>0</v>
      </c>
      <c r="G153" s="110" t="str">
        <f>InpC!G$36</f>
        <v xml:space="preserve">0 = WaSC, 1 = WoC </v>
      </c>
      <c r="H153" s="110"/>
      <c r="J153" s="117"/>
      <c r="K153" s="83"/>
    </row>
    <row r="154" spans="1:11" s="120" customFormat="1" ht="12.75" customHeight="1">
      <c r="A154" s="25"/>
      <c r="B154" s="18"/>
      <c r="C154" s="19"/>
      <c r="D154" s="169" t="str">
        <f>D$80</f>
        <v>PR14</v>
      </c>
      <c r="E154" s="169" t="str">
        <f t="shared" ref="E154:H154" si="36">E$80</f>
        <v>PAYG Totex - 2017/18 year average CPIH deflated - Wastewater</v>
      </c>
      <c r="F154" s="231">
        <f t="shared" si="36"/>
        <v>0</v>
      </c>
      <c r="G154" s="567" t="str">
        <f t="shared" si="36"/>
        <v>£m</v>
      </c>
      <c r="H154" s="568">
        <f t="shared" si="36"/>
        <v>382.05663400796391</v>
      </c>
      <c r="I154" s="45"/>
      <c r="J154" s="57"/>
      <c r="K154" s="157"/>
    </row>
    <row r="155" spans="1:11" s="120" customFormat="1" ht="12.75" customHeight="1">
      <c r="A155" s="25"/>
      <c r="B155" s="18"/>
      <c r="C155" s="19"/>
      <c r="D155" s="169" t="str">
        <f>D$105</f>
        <v>PR19</v>
      </c>
      <c r="E155" s="169" t="str">
        <f t="shared" ref="E155:H155" si="37">E$105</f>
        <v>PAYG Totex - wastewater (post sensi adj) - 2017/18 year average CPIH deflated</v>
      </c>
      <c r="F155" s="231">
        <f t="shared" si="37"/>
        <v>0</v>
      </c>
      <c r="G155" s="567" t="str">
        <f t="shared" si="37"/>
        <v>£m</v>
      </c>
      <c r="H155" s="568">
        <f t="shared" si="37"/>
        <v>353.88568406550286</v>
      </c>
      <c r="I155" s="45"/>
      <c r="J155" s="57"/>
      <c r="K155" s="157"/>
    </row>
    <row r="156" spans="1:11" s="120" customFormat="1" ht="12.75" customHeight="1">
      <c r="A156" s="25"/>
      <c r="B156" s="18"/>
      <c r="C156" s="19"/>
      <c r="D156" s="169"/>
      <c r="E156" s="301" t="str">
        <f>E$139</f>
        <v>Change in PAYG Totex due to change in PAYG% - Wastewater</v>
      </c>
      <c r="F156" s="231">
        <f t="shared" ref="F156:H156" si="38">F$139</f>
        <v>0</v>
      </c>
      <c r="G156" s="567" t="str">
        <f t="shared" si="38"/>
        <v>£m</v>
      </c>
      <c r="H156" s="568">
        <f t="shared" si="38"/>
        <v>-89.20746196180221</v>
      </c>
      <c r="I156" s="45"/>
      <c r="J156" s="57"/>
      <c r="K156" s="157"/>
    </row>
    <row r="157" spans="1:11" s="120" customFormat="1" ht="12.75" customHeight="1">
      <c r="A157" s="25"/>
      <c r="B157" s="18"/>
      <c r="C157" s="19"/>
      <c r="D157" s="169"/>
      <c r="E157" s="301" t="str">
        <f>E$143</f>
        <v>Change in PAYG Totex due to change in Totex - Wastewater</v>
      </c>
      <c r="F157" s="231">
        <f t="shared" ref="F157:H157" si="39">F$143</f>
        <v>0</v>
      </c>
      <c r="G157" s="567" t="str">
        <f t="shared" si="39"/>
        <v>£m</v>
      </c>
      <c r="H157" s="568">
        <f t="shared" si="39"/>
        <v>61.03651201934116</v>
      </c>
      <c r="I157" s="45"/>
      <c r="J157" s="57"/>
      <c r="K157" s="157"/>
    </row>
    <row r="158" spans="1:11" s="120" customFormat="1" ht="12.75" customHeight="1">
      <c r="A158" s="25"/>
      <c r="B158" s="18"/>
      <c r="C158" s="19"/>
      <c r="D158" s="169"/>
      <c r="E158" s="301" t="s">
        <v>152</v>
      </c>
      <c r="F158" s="145"/>
      <c r="G158" s="145" t="s">
        <v>351</v>
      </c>
      <c r="H158" s="300">
        <f>IF(ABS( (H155 - H154) - (H156 + H157) ) &gt; InpC!$F$10, 1, 0) - $F153</f>
        <v>0</v>
      </c>
      <c r="I158" s="45"/>
      <c r="J158" s="57"/>
      <c r="K158" s="157"/>
    </row>
    <row r="159" spans="1:11" s="120" customFormat="1" ht="12.75" customHeight="1">
      <c r="A159" s="25"/>
      <c r="B159" s="18"/>
      <c r="C159" s="19"/>
      <c r="D159" s="169"/>
      <c r="E159" s="166"/>
      <c r="F159" s="132"/>
      <c r="G159" s="132"/>
      <c r="H159" s="292"/>
      <c r="I159" s="45"/>
      <c r="J159" s="57"/>
      <c r="K159" s="157"/>
    </row>
    <row r="160" spans="1:11" s="57" customFormat="1" ht="12.75" customHeight="1">
      <c r="A160" s="176"/>
      <c r="B160" s="177"/>
      <c r="C160" s="178"/>
      <c r="D160" s="140"/>
      <c r="E160" s="166"/>
      <c r="F160" s="230"/>
      <c r="G160" s="230"/>
      <c r="H160" s="93"/>
      <c r="I160" s="45"/>
    </row>
    <row r="161" spans="1:10" s="75" customFormat="1">
      <c r="A161" s="38" t="s">
        <v>6</v>
      </c>
      <c r="B161" s="38"/>
      <c r="C161" s="39"/>
      <c r="D161" s="162"/>
      <c r="E161" s="151"/>
      <c r="F161" s="133"/>
      <c r="G161" s="153"/>
      <c r="H161" s="38"/>
      <c r="I161" s="38"/>
      <c r="J161" s="38"/>
    </row>
    <row r="163" spans="1:10">
      <c r="E163" s="134"/>
      <c r="F163" s="121"/>
      <c r="G163" s="121"/>
      <c r="H163" s="6"/>
    </row>
    <row r="164" spans="1:10">
      <c r="E164" s="134"/>
      <c r="F164" s="121"/>
      <c r="G164" s="121"/>
      <c r="H164" s="6"/>
    </row>
  </sheetData>
  <conditionalFormatting sqref="H158">
    <cfRule type="cellIs" dxfId="55" priority="17" stopIfTrue="1" operator="notEqual">
      <formula>0</formula>
    </cfRule>
    <cfRule type="cellIs" dxfId="54" priority="18" stopIfTrue="1" operator="equal">
      <formula>""</formula>
    </cfRule>
  </conditionalFormatting>
  <conditionalFormatting sqref="H151">
    <cfRule type="cellIs" dxfId="53" priority="19" stopIfTrue="1" operator="notEqual">
      <formula>0</formula>
    </cfRule>
    <cfRule type="cellIs" dxfId="52" priority="20" stopIfTrue="1" operator="equal">
      <formula>""</formula>
    </cfRule>
  </conditionalFormatting>
  <conditionalFormatting sqref="F1">
    <cfRule type="cellIs" dxfId="51" priority="15" stopIfTrue="1" operator="notEqual">
      <formula>0</formula>
    </cfRule>
    <cfRule type="cellIs" dxfId="50" priority="16" stopIfTrue="1" operator="equal">
      <formula>""</formula>
    </cfRule>
  </conditionalFormatting>
  <conditionalFormatting sqref="F2">
    <cfRule type="cellIs" dxfId="49" priority="1" stopIfTrue="1" operator="notEqual">
      <formula>0</formula>
    </cfRule>
    <cfRule type="cellIs" dxfId="48" priority="2" stopIfTrue="1" operator="equal">
      <formula>""</formula>
    </cfRule>
  </conditionalFormatting>
  <pageMargins left="0.70866141732283472" right="0.70866141732283472" top="0.74803149606299213" bottom="0.74803149606299213" header="0.31496062992125984" footer="0.31496062992125984"/>
  <pageSetup paperSize="9" scale="45" fitToHeight="0" orientation="portrait" r:id="rId1"/>
  <headerFooter>
    <oddHeader>&amp;LPage &amp;P of &amp;N&amp;CSheet:&amp;A</oddHeader>
    <oddFooter>&amp;L&amp;F ( Printed on &amp;D at &amp;T )&amp;ROFWAT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outlinePr summaryBelow="0" summaryRight="0"/>
    <pageSetUpPr fitToPage="1"/>
  </sheetPr>
  <dimension ref="A1:L83"/>
  <sheetViews>
    <sheetView showGridLines="0" defaultGridColor="0" colorId="22" zoomScale="80" zoomScaleNormal="80" workbookViewId="0">
      <pane ySplit="5" topLeftCell="A6" activePane="bottomLeft" state="frozen"/>
      <selection pane="bottomLeft"/>
    </sheetView>
  </sheetViews>
  <sheetFormatPr defaultColWidth="0" defaultRowHeight="13.2"/>
  <cols>
    <col min="1" max="2" width="1.21875" style="11" customWidth="1"/>
    <col min="3" max="3" width="4.5546875" style="344" customWidth="1"/>
    <col min="4" max="4" width="5.77734375" style="137" customWidth="1"/>
    <col min="5" max="5" width="96.5546875" style="137" customWidth="1"/>
    <col min="6" max="6" width="12.77734375" style="13" customWidth="1"/>
    <col min="7" max="7" width="11.77734375" style="13" customWidth="1"/>
    <col min="8" max="8" width="15.77734375" style="14" customWidth="1"/>
    <col min="9" max="9" width="3.77734375" style="45" customWidth="1"/>
    <col min="10" max="10" width="36.77734375" style="45" customWidth="1"/>
    <col min="11" max="11" width="10.77734375" style="45" hidden="1" customWidth="1"/>
    <col min="12" max="12" width="11.77734375" style="45" hidden="1" customWidth="1"/>
    <col min="13" max="16384" width="9.21875" style="45" hidden="1"/>
  </cols>
  <sheetData>
    <row r="1" spans="1:11" ht="24.6">
      <c r="A1" s="1" t="str">
        <f ca="1" xml:space="preserve"> RIGHT(CELL("filename", $A$1), LEN(CELL("filename", $A$1)) - SEARCH("]", CELL("filename", $A$1)))</f>
        <v>Wholesale</v>
      </c>
      <c r="B1" s="1"/>
      <c r="C1" s="342"/>
      <c r="D1" s="150"/>
      <c r="E1" s="150"/>
      <c r="F1" s="352">
        <f>Check!F2</f>
        <v>0</v>
      </c>
      <c r="G1" s="353" t="s">
        <v>239</v>
      </c>
      <c r="H1" s="6"/>
    </row>
    <row r="2" spans="1:11">
      <c r="A2" s="7"/>
      <c r="B2" s="7"/>
      <c r="C2" s="343"/>
      <c r="D2" s="161"/>
      <c r="E2" s="91"/>
      <c r="F2" s="336">
        <f>Check!F3</f>
        <v>93</v>
      </c>
      <c r="G2" s="569" t="s">
        <v>352</v>
      </c>
      <c r="H2" s="6"/>
    </row>
    <row r="3" spans="1:11">
      <c r="A3" s="7"/>
      <c r="B3" s="7"/>
      <c r="C3" s="343"/>
      <c r="D3" s="161"/>
      <c r="E3" s="91"/>
      <c r="F3" s="121"/>
      <c r="G3" s="121"/>
      <c r="H3" s="6"/>
    </row>
    <row r="4" spans="1:11">
      <c r="A4" s="7"/>
      <c r="B4" s="7"/>
      <c r="C4" s="343"/>
      <c r="D4" s="161"/>
      <c r="E4" s="91"/>
      <c r="F4" s="121"/>
      <c r="G4" s="121"/>
      <c r="H4" s="6"/>
    </row>
    <row r="5" spans="1:11">
      <c r="A5" s="7"/>
      <c r="B5" s="7"/>
      <c r="C5" s="343"/>
      <c r="D5" s="161"/>
      <c r="E5" s="91"/>
      <c r="F5" s="122" t="s">
        <v>0</v>
      </c>
      <c r="G5" s="122" t="s">
        <v>1</v>
      </c>
      <c r="H5" s="141" t="s">
        <v>22</v>
      </c>
      <c r="I5" s="81"/>
      <c r="J5" s="7" t="s">
        <v>89</v>
      </c>
    </row>
    <row r="7" spans="1:11" s="65" customFormat="1" ht="15" customHeight="1">
      <c r="A7" s="15" t="s">
        <v>141</v>
      </c>
      <c r="B7" s="15"/>
      <c r="C7" s="346"/>
      <c r="D7" s="135"/>
      <c r="E7" s="135"/>
      <c r="F7" s="17"/>
      <c r="G7" s="17"/>
      <c r="H7" s="15"/>
      <c r="I7" s="15"/>
      <c r="J7" s="15"/>
      <c r="K7" s="82"/>
    </row>
    <row r="8" spans="1:11" ht="12.75" customHeight="1">
      <c r="E8" s="136"/>
      <c r="F8" s="123"/>
      <c r="G8" s="123"/>
      <c r="H8" s="33"/>
      <c r="J8" s="82"/>
      <c r="K8" s="82"/>
    </row>
    <row r="9" spans="1:11">
      <c r="B9" s="11" t="s">
        <v>418</v>
      </c>
      <c r="I9" s="42"/>
    </row>
    <row r="10" spans="1:11">
      <c r="D10" s="49" t="str">
        <f>InpAct!D$48</f>
        <v>PR14</v>
      </c>
      <c r="E10" s="49" t="str">
        <f>InpAct!E$48</f>
        <v>Revenue requirement including tax charge - real - water</v>
      </c>
      <c r="F10" s="49">
        <f>InpAct!F$48</f>
        <v>0</v>
      </c>
      <c r="G10" s="294" t="str">
        <f>InpAct!G$48</f>
        <v>£m</v>
      </c>
      <c r="H10" s="49">
        <f>InpAct!H$48</f>
        <v>771.5270456350089</v>
      </c>
      <c r="I10" s="42"/>
    </row>
    <row r="11" spans="1:11">
      <c r="D11" s="49" t="str">
        <f>InpAct!D$49</f>
        <v>PR14</v>
      </c>
      <c r="E11" s="49" t="str">
        <f>InpAct!E$49</f>
        <v>Phase 9: Re-profiled allowed revenue - real - water</v>
      </c>
      <c r="F11" s="49">
        <f>InpAct!F$49</f>
        <v>0</v>
      </c>
      <c r="G11" s="294" t="str">
        <f>InpAct!G$49</f>
        <v>£m</v>
      </c>
      <c r="H11" s="49">
        <f>InpAct!H$49</f>
        <v>771.5270456350089</v>
      </c>
      <c r="I11" s="42"/>
    </row>
    <row r="12" spans="1:11">
      <c r="D12" s="617" t="str">
        <f>InpC!$F$26</f>
        <v>PR14</v>
      </c>
      <c r="E12" s="142" t="s">
        <v>436</v>
      </c>
      <c r="F12" s="142"/>
      <c r="G12" s="610" t="s">
        <v>2</v>
      </c>
      <c r="H12" s="142">
        <f xml:space="preserve"> H11 - H10</f>
        <v>0</v>
      </c>
      <c r="I12" s="42"/>
    </row>
    <row r="13" spans="1:11">
      <c r="D13" s="49"/>
      <c r="E13" s="49"/>
      <c r="F13" s="49"/>
      <c r="G13" s="294"/>
      <c r="H13" s="49"/>
      <c r="I13" s="42"/>
      <c r="J13" s="42"/>
    </row>
    <row r="14" spans="1:11">
      <c r="D14" s="63" t="str">
        <f>InpAct!D$50</f>
        <v>PR14</v>
      </c>
      <c r="E14" s="63" t="str">
        <f>InpAct!E$50</f>
        <v>Revenue requirement including tax charge - real - wastewater</v>
      </c>
      <c r="F14" s="63">
        <f>InpAct!F$50</f>
        <v>0</v>
      </c>
      <c r="G14" s="124" t="str">
        <f>InpAct!G$50</f>
        <v>£m</v>
      </c>
      <c r="H14" s="63">
        <f>InpAct!H$50</f>
        <v>1068.6690793427263</v>
      </c>
      <c r="I14" s="42"/>
      <c r="J14" s="42"/>
    </row>
    <row r="15" spans="1:11">
      <c r="D15" s="63" t="str">
        <f>InpAct!D$51</f>
        <v>PR14</v>
      </c>
      <c r="E15" s="63" t="str">
        <f>InpAct!E$51</f>
        <v>Phase 9: Re-profiled allowed revenue - real - wastewater</v>
      </c>
      <c r="F15" s="63">
        <f>InpAct!F$51</f>
        <v>0</v>
      </c>
      <c r="G15" s="124" t="str">
        <f>InpAct!G$51</f>
        <v>£m</v>
      </c>
      <c r="H15" s="63">
        <f>InpAct!H$51</f>
        <v>1068.6690793427263</v>
      </c>
      <c r="I15" s="42"/>
      <c r="J15" s="42"/>
    </row>
    <row r="16" spans="1:11">
      <c r="D16" s="617" t="str">
        <f>InpC!$F$26</f>
        <v>PR14</v>
      </c>
      <c r="E16" s="142" t="s">
        <v>437</v>
      </c>
      <c r="F16" s="142"/>
      <c r="G16" s="610" t="s">
        <v>2</v>
      </c>
      <c r="H16" s="142">
        <f xml:space="preserve"> H15 - H14</f>
        <v>0</v>
      </c>
      <c r="I16" s="42"/>
    </row>
    <row r="17" spans="1:11">
      <c r="D17" s="229"/>
      <c r="E17" s="229"/>
      <c r="H17" s="154"/>
      <c r="I17" s="42"/>
      <c r="J17" s="42"/>
    </row>
    <row r="18" spans="1:11" s="42" customFormat="1">
      <c r="A18" s="48"/>
      <c r="B18" s="48"/>
      <c r="C18" s="608"/>
      <c r="D18" s="49" t="str">
        <f>InpAct!D$63</f>
        <v>PR19</v>
      </c>
      <c r="E18" s="49" t="str">
        <f>InpAct!E$63</f>
        <v>Impact of re-profiling of allowed revenue - WR - real</v>
      </c>
      <c r="F18" s="63">
        <f>InpAct!F$63</f>
        <v>0</v>
      </c>
      <c r="G18" s="124" t="str">
        <f>InpAct!G$63</f>
        <v>£m</v>
      </c>
      <c r="H18" s="63">
        <f>InpAct!H$63</f>
        <v>0</v>
      </c>
    </row>
    <row r="19" spans="1:11" s="42" customFormat="1">
      <c r="A19" s="48"/>
      <c r="B19" s="48"/>
      <c r="C19" s="608"/>
      <c r="D19" s="49" t="str">
        <f>InpAct!D$67</f>
        <v>PR19</v>
      </c>
      <c r="E19" s="49" t="str">
        <f>InpAct!E$67</f>
        <v>Impact of re-profiling of allowed revenue - WN - real</v>
      </c>
      <c r="F19" s="63">
        <f>InpAct!F$67</f>
        <v>0</v>
      </c>
      <c r="G19" s="124" t="str">
        <f>InpAct!G$67</f>
        <v>£m</v>
      </c>
      <c r="H19" s="63">
        <f>InpAct!H$67</f>
        <v>0</v>
      </c>
    </row>
    <row r="20" spans="1:11" s="42" customFormat="1">
      <c r="A20" s="48"/>
      <c r="B20" s="48"/>
      <c r="C20" s="608"/>
      <c r="D20" s="49" t="str">
        <f>InpAct!D$71</f>
        <v>PR19</v>
      </c>
      <c r="E20" s="49" t="str">
        <f>InpAct!E$71</f>
        <v>Impact of re-profiling of allowed revenue - WWN - real</v>
      </c>
      <c r="F20" s="63">
        <f>InpAct!F$71</f>
        <v>0</v>
      </c>
      <c r="G20" s="124" t="str">
        <f>InpAct!G$71</f>
        <v>£m</v>
      </c>
      <c r="H20" s="63">
        <f>InpAct!H$71</f>
        <v>0</v>
      </c>
    </row>
    <row r="21" spans="1:11" s="42" customFormat="1">
      <c r="A21" s="48"/>
      <c r="B21" s="48"/>
      <c r="C21" s="608"/>
      <c r="D21" s="49" t="str">
        <f>InpAct!D$75</f>
        <v>PR19</v>
      </c>
      <c r="E21" s="49" t="str">
        <f>InpAct!E$75</f>
        <v>Impact of re-profiling of allowed revenue - BR - real</v>
      </c>
      <c r="F21" s="63">
        <f>InpAct!F$75</f>
        <v>0</v>
      </c>
      <c r="G21" s="124" t="str">
        <f>InpAct!G$75</f>
        <v>£m</v>
      </c>
      <c r="H21" s="63">
        <f>InpAct!H$75</f>
        <v>0</v>
      </c>
    </row>
    <row r="22" spans="1:11" s="120" customFormat="1">
      <c r="A22" s="11"/>
      <c r="B22" s="11"/>
      <c r="C22" s="344"/>
      <c r="D22" s="616" t="str">
        <f>InpC!$F$27</f>
        <v>PR19</v>
      </c>
      <c r="E22" s="181" t="s">
        <v>646</v>
      </c>
      <c r="F22" s="181"/>
      <c r="G22" s="609" t="s">
        <v>2</v>
      </c>
      <c r="H22" s="181">
        <f>SUM(H18:H21)</f>
        <v>0</v>
      </c>
      <c r="J22" s="42"/>
    </row>
    <row r="23" spans="1:11" s="42" customFormat="1">
      <c r="A23" s="48"/>
      <c r="B23" s="48"/>
      <c r="C23" s="608"/>
      <c r="D23" s="49"/>
      <c r="E23" s="49"/>
      <c r="F23" s="49"/>
      <c r="G23" s="294"/>
      <c r="H23" s="49"/>
    </row>
    <row r="24" spans="1:11">
      <c r="B24" s="11" t="s">
        <v>21</v>
      </c>
      <c r="I24" s="42"/>
      <c r="J24" s="42"/>
    </row>
    <row r="25" spans="1:11" s="42" customFormat="1" ht="12.75" customHeight="1">
      <c r="A25" s="51"/>
      <c r="B25" s="51"/>
      <c r="C25" s="147"/>
      <c r="D25" s="31" t="str">
        <f>InpC!D$55</f>
        <v>PR14</v>
      </c>
      <c r="E25" s="31" t="str">
        <f>InpC!E$55</f>
        <v>Adjustment from 2012/13 year average RPI to 2017/18 year average CPIH deflated</v>
      </c>
      <c r="F25" s="726">
        <f>InpC!F$55</f>
        <v>1.1497410673850219</v>
      </c>
      <c r="G25" s="227" t="str">
        <f>InpC!G$55</f>
        <v>factor</v>
      </c>
      <c r="H25" s="227">
        <f>InpC!H$55</f>
        <v>0</v>
      </c>
      <c r="I25" s="45"/>
      <c r="J25" s="148"/>
      <c r="K25" s="148"/>
    </row>
    <row r="26" spans="1:11" ht="12.75" customHeight="1">
      <c r="A26" s="25"/>
      <c r="B26" s="18"/>
      <c r="C26" s="345"/>
      <c r="D26" s="396" t="str">
        <f>InpAct!D$287</f>
        <v>PR14</v>
      </c>
      <c r="E26" s="396" t="str">
        <f>InpAct!E$287</f>
        <v>Tax charge - real - water</v>
      </c>
      <c r="F26" s="388">
        <f>InpAct!F$287</f>
        <v>0</v>
      </c>
      <c r="G26" s="388" t="str">
        <f>InpAct!G$287</f>
        <v>£m</v>
      </c>
      <c r="H26" s="49">
        <f>InpAct!H$287</f>
        <v>0</v>
      </c>
      <c r="J26" s="574"/>
    </row>
    <row r="27" spans="1:11" ht="12.75" customHeight="1">
      <c r="A27" s="25"/>
      <c r="B27" s="18"/>
      <c r="C27" s="345"/>
      <c r="D27" s="396" t="str">
        <f>InpAct!D$288</f>
        <v>PR14</v>
      </c>
      <c r="E27" s="396" t="str">
        <f>InpAct!E$288</f>
        <v>Pension deficit repair allowance - real - water</v>
      </c>
      <c r="F27" s="388">
        <f>InpAct!F$288</f>
        <v>0</v>
      </c>
      <c r="G27" s="388" t="str">
        <f>InpAct!G$288</f>
        <v>£m</v>
      </c>
      <c r="H27" s="49">
        <f>InpAct!H$288</f>
        <v>9.0660000000000007</v>
      </c>
      <c r="J27" s="112"/>
    </row>
    <row r="28" spans="1:11" ht="12.75" customHeight="1">
      <c r="A28" s="25"/>
      <c r="B28" s="18"/>
      <c r="C28" s="149" t="s">
        <v>238</v>
      </c>
      <c r="D28" s="396" t="str">
        <f>InpAct!D$289</f>
        <v>PR14</v>
      </c>
      <c r="E28" s="396" t="str">
        <f>InpAct!E$289</f>
        <v>Other income (incl 3rd party income) - real - water</v>
      </c>
      <c r="F28" s="388">
        <f>InpAct!F$289</f>
        <v>0</v>
      </c>
      <c r="G28" s="388" t="str">
        <f>InpAct!G$289</f>
        <v>£m</v>
      </c>
      <c r="H28" s="49">
        <f>InpAct!H$289</f>
        <v>-5.8892595750911125</v>
      </c>
      <c r="J28" s="42"/>
    </row>
    <row r="29" spans="1:11" s="42" customFormat="1">
      <c r="A29" s="48"/>
      <c r="B29" s="48"/>
      <c r="C29" s="608"/>
      <c r="D29" s="152" t="str">
        <f>InpAct!D$291</f>
        <v>PR14</v>
      </c>
      <c r="E29" s="152" t="str">
        <f>InpAct!E$291</f>
        <v>Tax charge - real - wastewater</v>
      </c>
      <c r="F29" s="44">
        <f>InpAct!F$291</f>
        <v>0</v>
      </c>
      <c r="G29" s="44" t="str">
        <f>InpAct!G$291</f>
        <v>£m</v>
      </c>
      <c r="H29" s="49">
        <f>InpAct!H$291</f>
        <v>0</v>
      </c>
    </row>
    <row r="30" spans="1:11" s="42" customFormat="1">
      <c r="A30" s="48"/>
      <c r="B30" s="48"/>
      <c r="C30" s="608"/>
      <c r="D30" s="152" t="str">
        <f>InpAct!D$292</f>
        <v>PR14</v>
      </c>
      <c r="E30" s="152" t="str">
        <f>InpAct!E$292</f>
        <v>Pension deficit repair allowance - real - wastewater</v>
      </c>
      <c r="F30" s="44">
        <f>InpAct!F$292</f>
        <v>0</v>
      </c>
      <c r="G30" s="44" t="str">
        <f>InpAct!G$292</f>
        <v>£m</v>
      </c>
      <c r="H30" s="49">
        <f>InpAct!H$292</f>
        <v>8.3350050677115295</v>
      </c>
    </row>
    <row r="31" spans="1:11" s="42" customFormat="1">
      <c r="A31" s="48"/>
      <c r="B31" s="48"/>
      <c r="C31" s="149" t="s">
        <v>238</v>
      </c>
      <c r="D31" s="152" t="str">
        <f>InpAct!D$293</f>
        <v>PR14</v>
      </c>
      <c r="E31" s="152" t="str">
        <f>InpAct!E$293</f>
        <v>Other income (incl 3rd party income) - real - wastewater</v>
      </c>
      <c r="F31" s="44">
        <f>InpAct!F$293</f>
        <v>0</v>
      </c>
      <c r="G31" s="44" t="str">
        <f>InpAct!G$293</f>
        <v>£m</v>
      </c>
      <c r="H31" s="49">
        <f>InpAct!H$293</f>
        <v>-11.369813947141559</v>
      </c>
    </row>
    <row r="32" spans="1:11" s="42" customFormat="1">
      <c r="A32" s="48"/>
      <c r="B32" s="48"/>
      <c r="C32" s="149"/>
      <c r="D32" s="158" t="str">
        <f>D$12</f>
        <v>PR14</v>
      </c>
      <c r="E32" s="158" t="str">
        <f t="shared" ref="E32:H32" si="0">E$12</f>
        <v>Impact of re-profiling of revenue requirement - real - water</v>
      </c>
      <c r="F32" s="149">
        <f t="shared" si="0"/>
        <v>0</v>
      </c>
      <c r="G32" s="149" t="str">
        <f t="shared" si="0"/>
        <v>£m</v>
      </c>
      <c r="H32" s="142">
        <f t="shared" si="0"/>
        <v>0</v>
      </c>
    </row>
    <row r="33" spans="1:11" ht="12.75" customHeight="1">
      <c r="A33" s="25"/>
      <c r="B33" s="18"/>
      <c r="C33" s="149"/>
      <c r="D33" s="142" t="str">
        <f>D$16</f>
        <v>PR14</v>
      </c>
      <c r="E33" s="142" t="str">
        <f t="shared" ref="E33:H33" si="1">E$16</f>
        <v>Impact of re-profiling of revenue requirement - real - wastewater</v>
      </c>
      <c r="F33" s="149">
        <f t="shared" si="1"/>
        <v>0</v>
      </c>
      <c r="G33" s="149" t="str">
        <f t="shared" si="1"/>
        <v>£m</v>
      </c>
      <c r="H33" s="142">
        <f t="shared" si="1"/>
        <v>0</v>
      </c>
    </row>
    <row r="34" spans="1:11" s="42" customFormat="1">
      <c r="A34" s="48"/>
      <c r="B34" s="48"/>
      <c r="C34" s="344"/>
      <c r="D34" s="616" t="str">
        <f>InpC!$F$26</f>
        <v>PR14</v>
      </c>
      <c r="E34" s="156" t="s">
        <v>435</v>
      </c>
      <c r="F34" s="155"/>
      <c r="G34" s="155" t="s">
        <v>2</v>
      </c>
      <c r="H34" s="181">
        <f xml:space="preserve"> SUM(H26:H33) * $F25</f>
        <v>0.16318452659446811</v>
      </c>
      <c r="I34" s="45"/>
    </row>
    <row r="35" spans="1:11">
      <c r="I35" s="42"/>
    </row>
    <row r="36" spans="1:11" s="42" customFormat="1">
      <c r="A36" s="48"/>
      <c r="B36" s="48"/>
      <c r="C36" s="344"/>
      <c r="D36" s="152" t="str">
        <f>InpAct!D$297</f>
        <v>PR19</v>
      </c>
      <c r="E36" s="152" t="str">
        <f>InpAct!E$297</f>
        <v xml:space="preserve">Tax WR - real </v>
      </c>
      <c r="F36" s="44">
        <f>InpAct!F$297</f>
        <v>0</v>
      </c>
      <c r="G36" s="44" t="str">
        <f>InpAct!G$297</f>
        <v>£m</v>
      </c>
      <c r="H36" s="49">
        <f>InpAct!H$297</f>
        <v>0</v>
      </c>
      <c r="I36" s="45"/>
    </row>
    <row r="37" spans="1:11" s="42" customFormat="1">
      <c r="A37" s="48"/>
      <c r="B37" s="48"/>
      <c r="C37" s="344"/>
      <c r="D37" s="152" t="str">
        <f>InpAct!D$295</f>
        <v>PR19</v>
      </c>
      <c r="E37" s="152" t="str">
        <f>InpAct!E$295</f>
        <v>Wholesale Water resources service defined benefit pension deficit recovery  per IN13/17 - real</v>
      </c>
      <c r="F37" s="44">
        <f>InpAct!F$295</f>
        <v>0</v>
      </c>
      <c r="G37" s="44" t="str">
        <f>InpAct!G$295</f>
        <v>£m</v>
      </c>
      <c r="H37" s="49">
        <f>InpAct!H$295</f>
        <v>0</v>
      </c>
      <c r="I37" s="120"/>
    </row>
    <row r="38" spans="1:11" s="42" customFormat="1">
      <c r="A38" s="48"/>
      <c r="B38" s="48"/>
      <c r="C38" s="344"/>
      <c r="D38" s="152" t="str">
        <f>InpAct!D$296</f>
        <v>PR19</v>
      </c>
      <c r="E38" s="152" t="str">
        <f>InpAct!E$296</f>
        <v>Total direct procurement from customers - infrastructure cost - WR - real</v>
      </c>
      <c r="F38" s="44">
        <f>InpAct!F$296</f>
        <v>0</v>
      </c>
      <c r="G38" s="44" t="str">
        <f>InpAct!G$296</f>
        <v>£m</v>
      </c>
      <c r="H38" s="49">
        <f>InpAct!H$296</f>
        <v>0</v>
      </c>
      <c r="I38" s="45"/>
    </row>
    <row r="39" spans="1:11" s="42" customFormat="1">
      <c r="A39" s="48"/>
      <c r="B39" s="48"/>
      <c r="C39" s="149" t="s">
        <v>238</v>
      </c>
      <c r="D39" s="152" t="str">
        <f>InpAct!D$298</f>
        <v>PR19</v>
      </c>
      <c r="E39" s="152" t="str">
        <f>InpAct!E$298</f>
        <v>Third party &amp; principle service revenues - WR - real</v>
      </c>
      <c r="F39" s="44">
        <f>InpAct!F$298</f>
        <v>0</v>
      </c>
      <c r="G39" s="44" t="str">
        <f>InpAct!G$298</f>
        <v>£m</v>
      </c>
      <c r="H39" s="49">
        <f>InpAct!H$298</f>
        <v>-3.8460000000000001</v>
      </c>
      <c r="I39" s="45"/>
    </row>
    <row r="40" spans="1:11" s="42" customFormat="1">
      <c r="A40" s="48"/>
      <c r="B40" s="48"/>
      <c r="C40" s="344"/>
      <c r="D40" s="152" t="str">
        <f>InpAct!D$302</f>
        <v>PR19</v>
      </c>
      <c r="E40" s="152" t="str">
        <f>InpAct!E$302</f>
        <v xml:space="preserve">Tax WN - real </v>
      </c>
      <c r="F40" s="44">
        <f>InpAct!F$302</f>
        <v>0</v>
      </c>
      <c r="G40" s="44" t="str">
        <f>InpAct!G$302</f>
        <v>£m</v>
      </c>
      <c r="H40" s="49">
        <f>InpAct!H$302</f>
        <v>0</v>
      </c>
      <c r="I40" s="45"/>
    </row>
    <row r="41" spans="1:11" s="42" customFormat="1">
      <c r="A41" s="48"/>
      <c r="B41" s="48"/>
      <c r="C41" s="344"/>
      <c r="D41" s="152" t="str">
        <f>InpAct!D$300</f>
        <v>PR19</v>
      </c>
      <c r="E41" s="152" t="str">
        <f>InpAct!E$300</f>
        <v>Wholesale Water network service defined benefit pension deficit recovery  per IN13/17 - real</v>
      </c>
      <c r="F41" s="44">
        <f>InpAct!F$300</f>
        <v>0</v>
      </c>
      <c r="G41" s="44" t="str">
        <f>InpAct!G$300</f>
        <v>£m</v>
      </c>
      <c r="H41" s="49">
        <f>InpAct!H$300</f>
        <v>0</v>
      </c>
      <c r="I41" s="45"/>
    </row>
    <row r="42" spans="1:11" s="42" customFormat="1">
      <c r="A42" s="48"/>
      <c r="B42" s="48"/>
      <c r="C42" s="344"/>
      <c r="D42" s="152" t="str">
        <f>InpAct!D$301</f>
        <v>PR19</v>
      </c>
      <c r="E42" s="152" t="str">
        <f>InpAct!E$301</f>
        <v>Total direct procurement from customers - infrastructure cost - WN - real</v>
      </c>
      <c r="F42" s="44">
        <f>InpAct!F$301</f>
        <v>0</v>
      </c>
      <c r="G42" s="44" t="str">
        <f>InpAct!G$301</f>
        <v>£m</v>
      </c>
      <c r="H42" s="49">
        <f>InpAct!H$301</f>
        <v>0</v>
      </c>
      <c r="I42" s="45"/>
    </row>
    <row r="43" spans="1:11" s="42" customFormat="1" ht="14.4">
      <c r="A43" s="48"/>
      <c r="B43" s="48"/>
      <c r="C43" s="149" t="s">
        <v>238</v>
      </c>
      <c r="D43" s="152" t="str">
        <f>InpAct!D$303</f>
        <v>PR19</v>
      </c>
      <c r="E43" s="152" t="str">
        <f>InpAct!E$303</f>
        <v>Third party &amp; principle service revenues - WN - real</v>
      </c>
      <c r="F43" s="44">
        <f>InpAct!F$303</f>
        <v>0</v>
      </c>
      <c r="G43" s="44" t="str">
        <f>InpAct!G$303</f>
        <v>£m</v>
      </c>
      <c r="H43" s="49">
        <f>InpAct!H$303</f>
        <v>-5.0771699485204778</v>
      </c>
      <c r="I43" s="271"/>
    </row>
    <row r="44" spans="1:11" s="42" customFormat="1" ht="14.4">
      <c r="A44" s="48"/>
      <c r="B44" s="48"/>
      <c r="C44" s="149"/>
      <c r="D44" s="616" t="str">
        <f>InpC!$F$27</f>
        <v>PR19</v>
      </c>
      <c r="E44" s="156" t="s">
        <v>439</v>
      </c>
      <c r="F44" s="155"/>
      <c r="G44" s="155" t="s">
        <v>2</v>
      </c>
      <c r="H44" s="181">
        <f>SUM(H36:H43)</f>
        <v>-8.9231699485204778</v>
      </c>
      <c r="I44" s="271"/>
    </row>
    <row r="45" spans="1:11" s="42" customFormat="1" ht="14.4">
      <c r="A45" s="48"/>
      <c r="B45" s="48"/>
      <c r="C45" s="149"/>
      <c r="D45" s="152"/>
      <c r="E45" s="152"/>
      <c r="F45" s="44"/>
      <c r="G45" s="44"/>
      <c r="H45" s="49"/>
      <c r="I45" s="271"/>
    </row>
    <row r="46" spans="1:11" ht="12.75" customHeight="1">
      <c r="A46" s="25"/>
      <c r="B46" s="18"/>
      <c r="C46" s="19"/>
      <c r="D46" s="86"/>
      <c r="E46" s="110" t="str">
        <f>InpC!E$36</f>
        <v>Company type switch</v>
      </c>
      <c r="F46" s="412">
        <f>InpC!F$36</f>
        <v>0</v>
      </c>
      <c r="G46" s="110" t="str">
        <f>InpC!G$36</f>
        <v xml:space="preserve">0 = WaSC, 1 = WoC </v>
      </c>
      <c r="H46" s="110"/>
      <c r="J46" s="117"/>
      <c r="K46" s="83"/>
    </row>
    <row r="47" spans="1:11" s="42" customFormat="1">
      <c r="A47" s="48"/>
      <c r="B47" s="48"/>
      <c r="C47" s="344"/>
      <c r="D47" s="152" t="str">
        <f>InpAct!D$307</f>
        <v>PR19</v>
      </c>
      <c r="E47" s="152" t="str">
        <f>InpAct!E$307</f>
        <v>Tax WWN - real</v>
      </c>
      <c r="F47" s="44">
        <f>InpAct!F$307</f>
        <v>0</v>
      </c>
      <c r="G47" s="44" t="str">
        <f>InpAct!G$307</f>
        <v>£m</v>
      </c>
      <c r="H47" s="49">
        <f>InpAct!H$307</f>
        <v>2.3338537310744352</v>
      </c>
    </row>
    <row r="48" spans="1:11" s="42" customFormat="1">
      <c r="A48" s="48"/>
      <c r="B48" s="48"/>
      <c r="C48" s="344"/>
      <c r="D48" s="152" t="str">
        <f>InpAct!D$305</f>
        <v>PR19</v>
      </c>
      <c r="E48" s="152" t="str">
        <f>InpAct!E$305</f>
        <v>Wholesale Wastewater network service defined benefit pension deficit recovery per IN13/17 - real</v>
      </c>
      <c r="F48" s="44">
        <f>InpAct!F$305</f>
        <v>0</v>
      </c>
      <c r="G48" s="44" t="str">
        <f>InpAct!G$305</f>
        <v>£m</v>
      </c>
      <c r="H48" s="49">
        <f>InpAct!H$305</f>
        <v>0</v>
      </c>
      <c r="I48" s="120"/>
    </row>
    <row r="49" spans="1:10" s="42" customFormat="1" ht="14.4">
      <c r="A49" s="48"/>
      <c r="B49" s="48"/>
      <c r="C49" s="344"/>
      <c r="D49" s="152" t="str">
        <f>InpAct!D$306</f>
        <v>PR19</v>
      </c>
      <c r="E49" s="152" t="str">
        <f>InpAct!E$306</f>
        <v>Total direct procurement from customers - infrastructure cost - WWN - real</v>
      </c>
      <c r="F49" s="44">
        <f>InpAct!F$306</f>
        <v>0</v>
      </c>
      <c r="G49" s="44" t="str">
        <f>InpAct!G$306</f>
        <v>£m</v>
      </c>
      <c r="H49" s="49">
        <f>InpAct!H$306</f>
        <v>0</v>
      </c>
      <c r="I49" s="271"/>
    </row>
    <row r="50" spans="1:10" s="42" customFormat="1">
      <c r="A50" s="48"/>
      <c r="B50" s="48"/>
      <c r="C50" s="149" t="s">
        <v>238</v>
      </c>
      <c r="D50" s="152" t="str">
        <f>InpAct!D$308</f>
        <v>PR19</v>
      </c>
      <c r="E50" s="152" t="str">
        <f>InpAct!E$308</f>
        <v>Third party &amp; principle service revenues - WWN - real</v>
      </c>
      <c r="F50" s="44">
        <f>InpAct!F$308</f>
        <v>0</v>
      </c>
      <c r="G50" s="44" t="str">
        <f>InpAct!G$308</f>
        <v>£m</v>
      </c>
      <c r="H50" s="49">
        <f>InpAct!H$308</f>
        <v>-10.076956887580588</v>
      </c>
      <c r="I50" s="45"/>
    </row>
    <row r="51" spans="1:10" s="42" customFormat="1">
      <c r="A51" s="48"/>
      <c r="B51" s="48"/>
      <c r="C51" s="344"/>
      <c r="D51" s="152" t="str">
        <f>InpAct!D$312</f>
        <v>PR19</v>
      </c>
      <c r="E51" s="152" t="str">
        <f>InpAct!E$312</f>
        <v>Tax BR - real</v>
      </c>
      <c r="F51" s="44">
        <f>InpAct!F$312</f>
        <v>0</v>
      </c>
      <c r="G51" s="44" t="str">
        <f>InpAct!G$312</f>
        <v>£m</v>
      </c>
      <c r="H51" s="49">
        <f>InpAct!H$312</f>
        <v>5.1686282797765708</v>
      </c>
    </row>
    <row r="52" spans="1:10" s="42" customFormat="1">
      <c r="A52" s="48"/>
      <c r="B52" s="48"/>
      <c r="C52" s="344"/>
      <c r="D52" s="152" t="str">
        <f>InpAct!D$310</f>
        <v>PR19</v>
      </c>
      <c r="E52" s="152" t="str">
        <f>InpAct!E$310</f>
        <v>Wholesale Bio resources service defined benefit pension deficit recovery per IN13/17 - real</v>
      </c>
      <c r="F52" s="44">
        <f>InpAct!F$310</f>
        <v>0</v>
      </c>
      <c r="G52" s="44" t="str">
        <f>InpAct!G$310</f>
        <v>£m</v>
      </c>
      <c r="H52" s="49">
        <f>InpAct!H$310</f>
        <v>0</v>
      </c>
    </row>
    <row r="53" spans="1:10" s="42" customFormat="1">
      <c r="A53" s="48"/>
      <c r="B53" s="48"/>
      <c r="C53" s="344"/>
      <c r="D53" s="152" t="str">
        <f>InpAct!D$311</f>
        <v>PR19</v>
      </c>
      <c r="E53" s="152" t="str">
        <f>InpAct!E$311</f>
        <v>Total direct procurement from customers - infrastructure cost - BR - real</v>
      </c>
      <c r="F53" s="44">
        <f>InpAct!F$311</f>
        <v>0</v>
      </c>
      <c r="G53" s="44" t="str">
        <f>InpAct!G$311</f>
        <v>£m</v>
      </c>
      <c r="H53" s="49">
        <f>InpAct!H$311</f>
        <v>0</v>
      </c>
    </row>
    <row r="54" spans="1:10" s="42" customFormat="1">
      <c r="A54" s="48"/>
      <c r="B54" s="48"/>
      <c r="C54" s="149" t="s">
        <v>238</v>
      </c>
      <c r="D54" s="152" t="str">
        <f>InpAct!D$313</f>
        <v>PR19</v>
      </c>
      <c r="E54" s="152" t="str">
        <f>InpAct!E$313</f>
        <v>Third party &amp; principle service revenues - BR - real</v>
      </c>
      <c r="F54" s="44">
        <f>InpAct!F$313</f>
        <v>0</v>
      </c>
      <c r="G54" s="44" t="str">
        <f>InpAct!G$313</f>
        <v>£m</v>
      </c>
      <c r="H54" s="49">
        <f>InpAct!H$313</f>
        <v>0</v>
      </c>
    </row>
    <row r="55" spans="1:10" s="42" customFormat="1">
      <c r="A55" s="48"/>
      <c r="B55" s="48"/>
      <c r="C55" s="344"/>
      <c r="D55" s="616" t="str">
        <f>InpC!$F$27</f>
        <v>PR19</v>
      </c>
      <c r="E55" s="156" t="s">
        <v>440</v>
      </c>
      <c r="F55" s="155"/>
      <c r="G55" s="155" t="s">
        <v>2</v>
      </c>
      <c r="H55" s="181">
        <f>IF($F46 = 1, 0, SUM(H47:H54) )</f>
        <v>-2.5744748767295818</v>
      </c>
      <c r="I55" s="45"/>
    </row>
    <row r="56" spans="1:10" s="42" customFormat="1">
      <c r="A56" s="48"/>
      <c r="B56" s="48"/>
      <c r="C56" s="149"/>
      <c r="D56" s="152"/>
      <c r="E56" s="152"/>
      <c r="F56" s="44"/>
      <c r="G56" s="44"/>
      <c r="H56" s="49"/>
    </row>
    <row r="57" spans="1:10" s="42" customFormat="1">
      <c r="A57" s="48"/>
      <c r="B57" s="48"/>
      <c r="C57" s="149"/>
      <c r="D57" s="142" t="str">
        <f>D$44</f>
        <v>PR19</v>
      </c>
      <c r="E57" s="142" t="str">
        <f t="shared" ref="E57:H57" si="2">E$44</f>
        <v>Other Wholesale Items - Water - real</v>
      </c>
      <c r="F57" s="231">
        <f t="shared" si="2"/>
        <v>0</v>
      </c>
      <c r="G57" s="231" t="str">
        <f t="shared" si="2"/>
        <v>£m</v>
      </c>
      <c r="H57" s="229">
        <f t="shared" si="2"/>
        <v>-8.9231699485204778</v>
      </c>
    </row>
    <row r="58" spans="1:10" s="42" customFormat="1">
      <c r="A58" s="48"/>
      <c r="B58" s="48"/>
      <c r="C58" s="149"/>
      <c r="D58" s="142" t="str">
        <f>D$55</f>
        <v>PR19</v>
      </c>
      <c r="E58" s="142" t="str">
        <f t="shared" ref="E58:H58" si="3">E$55</f>
        <v>Other Wholesale Items - Wastewater - real</v>
      </c>
      <c r="F58" s="231">
        <f t="shared" si="3"/>
        <v>0</v>
      </c>
      <c r="G58" s="231" t="str">
        <f t="shared" si="3"/>
        <v>£m</v>
      </c>
      <c r="H58" s="229">
        <f t="shared" si="3"/>
        <v>-2.5744748767295818</v>
      </c>
    </row>
    <row r="59" spans="1:10" s="42" customFormat="1">
      <c r="A59" s="48"/>
      <c r="B59" s="48"/>
      <c r="C59" s="149"/>
      <c r="D59" s="142" t="str">
        <f>D$22</f>
        <v>PR19</v>
      </c>
      <c r="E59" s="142" t="str">
        <f t="shared" ref="E59:H59" si="4">E$22</f>
        <v>Impact of re-profiling of allowed revenue - real</v>
      </c>
      <c r="F59" s="231">
        <f t="shared" si="4"/>
        <v>0</v>
      </c>
      <c r="G59" s="231" t="str">
        <f t="shared" si="4"/>
        <v>£m</v>
      </c>
      <c r="H59" s="229">
        <f t="shared" si="4"/>
        <v>0</v>
      </c>
    </row>
    <row r="60" spans="1:10" s="42" customFormat="1">
      <c r="A60" s="48"/>
      <c r="B60" s="48"/>
      <c r="C60" s="344"/>
      <c r="D60" s="616" t="str">
        <f>InpC!$F$27</f>
        <v>PR19</v>
      </c>
      <c r="E60" s="156" t="s">
        <v>438</v>
      </c>
      <c r="F60" s="155"/>
      <c r="G60" s="155" t="s">
        <v>2</v>
      </c>
      <c r="H60" s="181">
        <f>SUM(H57:H59)</f>
        <v>-11.49764482525006</v>
      </c>
      <c r="I60" s="45"/>
    </row>
    <row r="61" spans="1:10" s="42" customFormat="1">
      <c r="A61" s="48"/>
      <c r="B61" s="48"/>
      <c r="C61" s="344"/>
      <c r="D61" s="160"/>
      <c r="E61" s="160"/>
      <c r="F61" s="231"/>
      <c r="G61" s="231"/>
      <c r="H61" s="229"/>
      <c r="I61" s="45"/>
    </row>
    <row r="62" spans="1:10" s="42" customFormat="1">
      <c r="A62" s="48"/>
      <c r="B62" s="48"/>
      <c r="C62" s="344"/>
      <c r="D62" s="160" t="str">
        <f>D$34</f>
        <v>PR14</v>
      </c>
      <c r="E62" s="160" t="str">
        <f t="shared" ref="E62:H62" si="5">E$34</f>
        <v>Total of Other Wholesale Items - 2017/18 year average CPIH deflated</v>
      </c>
      <c r="F62" s="231">
        <f t="shared" si="5"/>
        <v>0</v>
      </c>
      <c r="G62" s="231" t="str">
        <f t="shared" si="5"/>
        <v>£m</v>
      </c>
      <c r="H62" s="229">
        <f t="shared" si="5"/>
        <v>0.16318452659446811</v>
      </c>
      <c r="I62" s="45"/>
    </row>
    <row r="63" spans="1:10" s="42" customFormat="1">
      <c r="A63" s="48"/>
      <c r="B63" s="48"/>
      <c r="C63" s="344"/>
      <c r="D63" s="160" t="str">
        <f>D$60</f>
        <v>PR19</v>
      </c>
      <c r="E63" s="160" t="str">
        <f t="shared" ref="E63:H63" si="6">E$60</f>
        <v>Total of Other Wholesale Items - real</v>
      </c>
      <c r="F63" s="231">
        <f t="shared" si="6"/>
        <v>0</v>
      </c>
      <c r="G63" s="231" t="str">
        <f t="shared" si="6"/>
        <v>£m</v>
      </c>
      <c r="H63" s="229">
        <f t="shared" si="6"/>
        <v>-11.49764482525006</v>
      </c>
      <c r="I63" s="45"/>
    </row>
    <row r="64" spans="1:10" s="57" customFormat="1">
      <c r="A64" s="54"/>
      <c r="B64" s="54"/>
      <c r="C64" s="344"/>
      <c r="D64" s="291"/>
      <c r="E64" s="291" t="s">
        <v>235</v>
      </c>
      <c r="F64" s="56"/>
      <c r="G64" s="56" t="s">
        <v>2</v>
      </c>
      <c r="H64" s="64">
        <f>H63-H62</f>
        <v>-11.660829351844528</v>
      </c>
      <c r="I64" s="45"/>
      <c r="J64" s="120" t="s">
        <v>502</v>
      </c>
    </row>
    <row r="66" spans="1:10" s="42" customFormat="1">
      <c r="A66" s="48"/>
      <c r="B66" s="48"/>
      <c r="C66" s="344"/>
      <c r="D66" s="152"/>
      <c r="E66" s="152"/>
      <c r="F66" s="44"/>
      <c r="G66" s="44"/>
      <c r="H66" s="152"/>
      <c r="I66" s="45"/>
    </row>
    <row r="67" spans="1:10" s="75" customFormat="1">
      <c r="A67" s="38" t="s">
        <v>6</v>
      </c>
      <c r="B67" s="38"/>
      <c r="C67" s="347"/>
      <c r="D67" s="162"/>
      <c r="E67" s="151"/>
      <c r="F67" s="133"/>
      <c r="G67" s="153"/>
      <c r="H67" s="38"/>
      <c r="I67" s="38"/>
      <c r="J67" s="38"/>
    </row>
    <row r="69" spans="1:10">
      <c r="D69" s="168" t="s">
        <v>28</v>
      </c>
      <c r="E69" s="158"/>
      <c r="F69" s="149"/>
      <c r="G69" s="149"/>
      <c r="H69" s="119"/>
      <c r="I69" s="57"/>
    </row>
    <row r="70" spans="1:10">
      <c r="D70" s="160" t="str">
        <f>D$34</f>
        <v>PR14</v>
      </c>
      <c r="E70" s="160" t="str">
        <f t="shared" ref="E70:G70" si="7">E$34</f>
        <v>Total of Other Wholesale Items - 2017/18 year average CPIH deflated</v>
      </c>
      <c r="F70" s="231">
        <f t="shared" si="7"/>
        <v>0</v>
      </c>
      <c r="G70" s="231" t="str">
        <f t="shared" si="7"/>
        <v>£m</v>
      </c>
      <c r="H70" s="566">
        <f>SUM(H26:H28,H32)*$F$25</f>
        <v>3.6524289269398933</v>
      </c>
      <c r="I70" s="57"/>
    </row>
    <row r="71" spans="1:10">
      <c r="D71" s="160" t="str">
        <f>D$60</f>
        <v>PR19</v>
      </c>
      <c r="E71" s="160" t="str">
        <f t="shared" ref="E71:G71" si="8">E$60</f>
        <v>Total of Other Wholesale Items - real</v>
      </c>
      <c r="F71" s="231">
        <f t="shared" si="8"/>
        <v>0</v>
      </c>
      <c r="G71" s="231" t="str">
        <f t="shared" si="8"/>
        <v>£m</v>
      </c>
      <c r="H71" s="566">
        <f>H57</f>
        <v>-8.9231699485204778</v>
      </c>
      <c r="I71" s="57"/>
    </row>
    <row r="72" spans="1:10">
      <c r="D72" s="291"/>
      <c r="E72" s="291" t="s">
        <v>235</v>
      </c>
      <c r="F72" s="56"/>
      <c r="G72" s="56" t="s">
        <v>2</v>
      </c>
      <c r="H72" s="769">
        <f>H71-H70</f>
        <v>-12.575598875460372</v>
      </c>
    </row>
    <row r="73" spans="1:10">
      <c r="D73" s="158"/>
      <c r="E73" s="158"/>
      <c r="F73" s="149"/>
      <c r="G73" s="149"/>
      <c r="H73" s="119"/>
      <c r="I73" s="179"/>
    </row>
    <row r="74" spans="1:10">
      <c r="D74" s="168" t="s">
        <v>7</v>
      </c>
      <c r="E74" s="158"/>
      <c r="F74" s="149"/>
      <c r="G74" s="149"/>
      <c r="H74" s="119"/>
      <c r="I74" s="179"/>
    </row>
    <row r="75" spans="1:10">
      <c r="D75" s="160" t="str">
        <f>D$34</f>
        <v>PR14</v>
      </c>
      <c r="E75" s="160" t="str">
        <f t="shared" ref="E75:G75" si="9">E$34</f>
        <v>Total of Other Wholesale Items - 2017/18 year average CPIH deflated</v>
      </c>
      <c r="F75" s="231">
        <f t="shared" si="9"/>
        <v>0</v>
      </c>
      <c r="G75" s="231" t="str">
        <f t="shared" si="9"/>
        <v>£m</v>
      </c>
      <c r="H75" s="566">
        <f>SUM(H29:H31,H33)*$F$25</f>
        <v>-3.4892444003454242</v>
      </c>
      <c r="I75" s="179"/>
    </row>
    <row r="76" spans="1:10">
      <c r="D76" s="160" t="str">
        <f>D$60</f>
        <v>PR19</v>
      </c>
      <c r="E76" s="160" t="str">
        <f t="shared" ref="E76:G76" si="10">E$60</f>
        <v>Total of Other Wholesale Items - real</v>
      </c>
      <c r="F76" s="231">
        <f t="shared" si="10"/>
        <v>0</v>
      </c>
      <c r="G76" s="231" t="str">
        <f t="shared" si="10"/>
        <v>£m</v>
      </c>
      <c r="H76" s="566">
        <f>H58</f>
        <v>-2.5744748767295818</v>
      </c>
    </row>
    <row r="77" spans="1:10">
      <c r="D77" s="291"/>
      <c r="E77" s="291" t="s">
        <v>235</v>
      </c>
      <c r="F77" s="56"/>
      <c r="G77" s="56" t="s">
        <v>2</v>
      </c>
      <c r="H77" s="769">
        <f>H76-H75</f>
        <v>0.91476952361584241</v>
      </c>
    </row>
    <row r="78" spans="1:10">
      <c r="D78" s="158"/>
      <c r="E78" s="158"/>
      <c r="F78" s="149"/>
      <c r="G78" s="149"/>
      <c r="H78" s="119"/>
      <c r="I78" s="179"/>
    </row>
    <row r="79" spans="1:10">
      <c r="D79" s="160"/>
      <c r="E79" s="160" t="s">
        <v>376</v>
      </c>
      <c r="F79" s="231"/>
      <c r="G79" s="231"/>
      <c r="H79" s="566">
        <f>SUM(H72,H77)-H64</f>
        <v>0</v>
      </c>
      <c r="I79" s="179"/>
    </row>
    <row r="80" spans="1:10">
      <c r="I80" s="57"/>
    </row>
    <row r="81" spans="9:9">
      <c r="I81" s="179"/>
    </row>
    <row r="82" spans="9:9">
      <c r="I82" s="57"/>
    </row>
    <row r="83" spans="9:9">
      <c r="I83" s="75"/>
    </row>
  </sheetData>
  <conditionalFormatting sqref="F1">
    <cfRule type="cellIs" dxfId="47" priority="11" stopIfTrue="1" operator="notEqual">
      <formula>0</formula>
    </cfRule>
    <cfRule type="cellIs" dxfId="46" priority="12" stopIfTrue="1" operator="equal">
      <formula>""</formula>
    </cfRule>
  </conditionalFormatting>
  <conditionalFormatting sqref="F2">
    <cfRule type="cellIs" dxfId="45" priority="1" stopIfTrue="1" operator="notEqual">
      <formula>0</formula>
    </cfRule>
    <cfRule type="cellIs" dxfId="44" priority="2" stopIfTrue="1" operator="equal">
      <formula>""</formula>
    </cfRule>
  </conditionalFormatting>
  <pageMargins left="0.70866141732283472" right="0.70866141732283472" top="0.74803149606299213" bottom="0.74803149606299213" header="0.31496062992125984" footer="0.31496062992125984"/>
  <pageSetup paperSize="9" scale="45" fitToHeight="0" orientation="portrait" r:id="rId1"/>
  <headerFooter>
    <oddHeader>&amp;LPage &amp;P of &amp;N&amp;CSheet:&amp;A</oddHeader>
    <oddFooter>&amp;L&amp;F ( Printed on &amp;D at &amp;T )&amp;ROFWAT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outlinePr summaryBelow="0" summaryRight="0"/>
    <pageSetUpPr fitToPage="1"/>
  </sheetPr>
  <dimension ref="A1:U85"/>
  <sheetViews>
    <sheetView showGridLines="0" defaultGridColor="0" colorId="22" zoomScale="80" zoomScaleNormal="80" workbookViewId="0">
      <pane ySplit="5" topLeftCell="A6" activePane="bottomLeft" state="frozen"/>
      <selection pane="bottomLeft"/>
    </sheetView>
  </sheetViews>
  <sheetFormatPr defaultColWidth="0" defaultRowHeight="13.2"/>
  <cols>
    <col min="1" max="2" width="1.21875" style="11" customWidth="1"/>
    <col min="3" max="3" width="4.5546875" style="344" customWidth="1"/>
    <col min="4" max="4" width="5.77734375" style="137" customWidth="1"/>
    <col min="5" max="5" width="96.5546875" style="137" customWidth="1"/>
    <col min="6" max="6" width="12.77734375" style="13" customWidth="1"/>
    <col min="7" max="7" width="11.77734375" style="13" customWidth="1"/>
    <col min="8" max="8" width="15.77734375" style="14" customWidth="1"/>
    <col min="9" max="9" width="3.77734375" style="45" customWidth="1"/>
    <col min="10" max="10" width="36.77734375" style="45" customWidth="1"/>
    <col min="11" max="11" width="10.77734375" style="45" hidden="1" customWidth="1"/>
    <col min="12" max="12" width="11.77734375" style="45" hidden="1" customWidth="1"/>
    <col min="13" max="16384" width="9.21875" style="45" hidden="1"/>
  </cols>
  <sheetData>
    <row r="1" spans="1:21" ht="24.6">
      <c r="A1" s="1" t="str">
        <f ca="1" xml:space="preserve"> RIGHT(CELL("filename", $A$1), LEN(CELL("filename", $A$1)) - SEARCH("]", CELL("filename", $A$1)))</f>
        <v>Reconciliation</v>
      </c>
      <c r="B1" s="1"/>
      <c r="C1" s="342"/>
      <c r="D1" s="150"/>
      <c r="E1" s="150"/>
      <c r="F1" s="352">
        <f>Check!F2</f>
        <v>0</v>
      </c>
      <c r="G1" s="353" t="s">
        <v>239</v>
      </c>
      <c r="H1" s="6"/>
    </row>
    <row r="2" spans="1:21">
      <c r="A2" s="7"/>
      <c r="B2" s="7"/>
      <c r="C2" s="343"/>
      <c r="D2" s="161"/>
      <c r="E2" s="91"/>
      <c r="F2" s="336">
        <f>Check!F3</f>
        <v>93</v>
      </c>
      <c r="G2" s="569" t="s">
        <v>352</v>
      </c>
      <c r="H2" s="6"/>
    </row>
    <row r="3" spans="1:21">
      <c r="A3" s="7"/>
      <c r="B3" s="7"/>
      <c r="C3" s="343"/>
      <c r="D3" s="161"/>
      <c r="E3" s="91"/>
      <c r="F3" s="121"/>
      <c r="G3" s="121"/>
      <c r="H3" s="6"/>
    </row>
    <row r="4" spans="1:21">
      <c r="A4" s="7"/>
      <c r="B4" s="7"/>
      <c r="C4" s="343"/>
      <c r="D4" s="161"/>
      <c r="E4" s="91"/>
      <c r="F4" s="121"/>
      <c r="G4" s="121"/>
      <c r="H4" s="6"/>
    </row>
    <row r="5" spans="1:21">
      <c r="A5" s="7"/>
      <c r="B5" s="7"/>
      <c r="C5" s="343"/>
      <c r="D5" s="161"/>
      <c r="E5" s="91"/>
      <c r="F5" s="122" t="s">
        <v>0</v>
      </c>
      <c r="G5" s="122" t="s">
        <v>1</v>
      </c>
      <c r="H5" s="141" t="s">
        <v>22</v>
      </c>
      <c r="I5" s="81"/>
      <c r="J5" s="7" t="s">
        <v>89</v>
      </c>
    </row>
    <row r="7" spans="1:21" s="65" customFormat="1" ht="15" customHeight="1">
      <c r="A7" s="15" t="s">
        <v>445</v>
      </c>
      <c r="B7" s="15"/>
      <c r="C7" s="346"/>
      <c r="D7" s="135"/>
      <c r="E7" s="135"/>
      <c r="F7" s="17"/>
      <c r="G7" s="17"/>
      <c r="H7" s="15"/>
      <c r="I7" s="15"/>
      <c r="J7" s="15"/>
      <c r="K7" s="82"/>
    </row>
    <row r="8" spans="1:21" s="120" customFormat="1">
      <c r="A8" s="11"/>
      <c r="B8" s="11"/>
      <c r="C8" s="344"/>
      <c r="D8" s="158"/>
      <c r="E8" s="158"/>
      <c r="F8" s="149"/>
      <c r="G8" s="149"/>
      <c r="H8" s="142"/>
      <c r="I8" s="45"/>
    </row>
    <row r="9" spans="1:21" customFormat="1" ht="14.4">
      <c r="A9" s="106"/>
      <c r="B9" s="270" t="s">
        <v>442</v>
      </c>
      <c r="C9" s="164"/>
      <c r="D9" s="109"/>
      <c r="F9" s="274"/>
      <c r="G9" s="274"/>
      <c r="H9" s="271"/>
      <c r="I9" s="271"/>
      <c r="J9" s="271"/>
      <c r="K9" s="271"/>
      <c r="L9" s="271"/>
      <c r="M9" s="271"/>
      <c r="N9" s="271"/>
      <c r="O9" s="271"/>
      <c r="P9" s="271"/>
      <c r="Q9" s="271"/>
      <c r="R9" s="271"/>
      <c r="S9" s="271"/>
      <c r="T9" s="271"/>
      <c r="U9" s="271"/>
    </row>
    <row r="10" spans="1:21" s="42" customFormat="1" ht="12.75" customHeight="1">
      <c r="A10" s="51"/>
      <c r="B10" s="51"/>
      <c r="C10" s="147"/>
      <c r="D10" s="31" t="str">
        <f>InpC!D$55</f>
        <v>PR14</v>
      </c>
      <c r="E10" s="31" t="str">
        <f>InpC!E$55</f>
        <v>Adjustment from 2012/13 year average RPI to 2017/18 year average CPIH deflated</v>
      </c>
      <c r="F10" s="726">
        <f>InpC!F$55</f>
        <v>1.1497410673850219</v>
      </c>
      <c r="G10" s="227" t="str">
        <f>InpC!G$55</f>
        <v>factor</v>
      </c>
      <c r="H10" s="227">
        <f>InpC!H$55</f>
        <v>0</v>
      </c>
      <c r="I10" s="45"/>
      <c r="J10" s="148"/>
      <c r="K10" s="148"/>
    </row>
    <row r="11" spans="1:21" s="120" customFormat="1">
      <c r="A11" s="11"/>
      <c r="B11" s="11"/>
      <c r="C11" s="344"/>
      <c r="D11" s="152" t="str">
        <f>InpAct!D318</f>
        <v>PR14</v>
      </c>
      <c r="E11" s="152" t="str">
        <f>InpAct!E318</f>
        <v>SIM adjustment (+ or -) - real - Water</v>
      </c>
      <c r="F11" s="44">
        <f>InpAct!F318</f>
        <v>0</v>
      </c>
      <c r="G11" s="44" t="str">
        <f>InpAct!G318</f>
        <v>£m</v>
      </c>
      <c r="H11" s="49">
        <f>InpAct!H318</f>
        <v>-8.1810890189019307</v>
      </c>
      <c r="I11" s="45"/>
    </row>
    <row r="12" spans="1:21" s="120" customFormat="1">
      <c r="A12" s="11"/>
      <c r="B12" s="11"/>
      <c r="C12" s="344"/>
      <c r="D12" s="152" t="str">
        <f>InpAct!D319</f>
        <v>PR14</v>
      </c>
      <c r="E12" s="152" t="str">
        <f>InpAct!E319</f>
        <v>Opex incentive allowance (+ only) - real - Water</v>
      </c>
      <c r="F12" s="44">
        <f>InpAct!F319</f>
        <v>0</v>
      </c>
      <c r="G12" s="44" t="str">
        <f>InpAct!G319</f>
        <v>£m</v>
      </c>
      <c r="H12" s="49">
        <f>InpAct!H319</f>
        <v>0</v>
      </c>
      <c r="I12" s="45"/>
    </row>
    <row r="13" spans="1:21" s="120" customFormat="1">
      <c r="A13" s="11"/>
      <c r="B13" s="11"/>
      <c r="C13" s="344"/>
      <c r="D13" s="152" t="str">
        <f>InpAct!D320</f>
        <v>PR14</v>
      </c>
      <c r="E13" s="152" t="str">
        <f>InpAct!E320</f>
        <v>CIS adjustment (+ or -) - real - Water</v>
      </c>
      <c r="F13" s="44">
        <f>InpAct!F320</f>
        <v>0</v>
      </c>
      <c r="G13" s="44" t="str">
        <f>InpAct!G320</f>
        <v>£m</v>
      </c>
      <c r="H13" s="49">
        <f>InpAct!H320</f>
        <v>-3.2288801091953001</v>
      </c>
      <c r="I13" s="45"/>
    </row>
    <row r="14" spans="1:21" s="120" customFormat="1">
      <c r="A14" s="11"/>
      <c r="B14" s="11"/>
      <c r="C14" s="344"/>
      <c r="D14" s="152" t="str">
        <f>InpAct!D321</f>
        <v>PR14</v>
      </c>
      <c r="E14" s="152" t="str">
        <f>InpAct!E321</f>
        <v>RCM adjustment (+ or -) - real - Water</v>
      </c>
      <c r="F14" s="44">
        <f>InpAct!F321</f>
        <v>0</v>
      </c>
      <c r="G14" s="44" t="str">
        <f>InpAct!G321</f>
        <v>£m</v>
      </c>
      <c r="H14" s="49">
        <f>InpAct!H321</f>
        <v>8.1536207528333104</v>
      </c>
      <c r="I14" s="45"/>
    </row>
    <row r="15" spans="1:21" s="120" customFormat="1">
      <c r="A15" s="11"/>
      <c r="B15" s="11"/>
      <c r="C15" s="344"/>
      <c r="D15" s="152" t="str">
        <f>InpAct!D322</f>
        <v>PR14</v>
      </c>
      <c r="E15" s="152" t="str">
        <f>InpAct!E322</f>
        <v>Equity injection clawback (- only) - real - Water</v>
      </c>
      <c r="F15" s="44">
        <f>InpAct!F322</f>
        <v>0</v>
      </c>
      <c r="G15" s="44" t="str">
        <f>InpAct!G322</f>
        <v>£m</v>
      </c>
      <c r="H15" s="49">
        <f>InpAct!H322</f>
        <v>0</v>
      </c>
      <c r="I15" s="45"/>
    </row>
    <row r="16" spans="1:21" s="120" customFormat="1">
      <c r="A16" s="11"/>
      <c r="B16" s="11"/>
      <c r="C16" s="344"/>
      <c r="D16" s="152" t="str">
        <f>InpAct!D323</f>
        <v>PR14</v>
      </c>
      <c r="E16" s="152" t="str">
        <f>InpAct!E323</f>
        <v>Tax refinancing benefit clawback (- only) - real - Water</v>
      </c>
      <c r="F16" s="44">
        <f>InpAct!F323</f>
        <v>0</v>
      </c>
      <c r="G16" s="44" t="str">
        <f>InpAct!G323</f>
        <v>£m</v>
      </c>
      <c r="H16" s="49">
        <f>InpAct!H323</f>
        <v>0</v>
      </c>
      <c r="I16" s="45"/>
    </row>
    <row r="17" spans="1:9" s="120" customFormat="1">
      <c r="A17" s="11"/>
      <c r="B17" s="11"/>
      <c r="C17" s="344"/>
      <c r="D17" s="152" t="str">
        <f>InpAct!D324</f>
        <v>PR14</v>
      </c>
      <c r="E17" s="152" t="str">
        <f>InpAct!E324</f>
        <v>Outcome delivery incentive (+ or -) - real - Water</v>
      </c>
      <c r="F17" s="44">
        <f>InpAct!F324</f>
        <v>0</v>
      </c>
      <c r="G17" s="44" t="str">
        <f>InpAct!G324</f>
        <v>£m</v>
      </c>
      <c r="H17" s="49">
        <f>InpAct!H324</f>
        <v>0</v>
      </c>
      <c r="I17" s="45"/>
    </row>
    <row r="18" spans="1:9" s="120" customFormat="1">
      <c r="A18" s="11"/>
      <c r="B18" s="11"/>
      <c r="C18" s="344"/>
      <c r="D18" s="152" t="str">
        <f>InpAct!D325</f>
        <v>PR14</v>
      </c>
      <c r="E18" s="152" t="str">
        <f>InpAct!E325</f>
        <v>Totex menu additional income (+ or -) - real - Water</v>
      </c>
      <c r="F18" s="44">
        <f>InpAct!F325</f>
        <v>0</v>
      </c>
      <c r="G18" s="44" t="str">
        <f>InpAct!G325</f>
        <v>£m</v>
      </c>
      <c r="H18" s="49">
        <f>InpAct!H325</f>
        <v>3.8432199580287101</v>
      </c>
      <c r="I18" s="45"/>
    </row>
    <row r="19" spans="1:9" s="120" customFormat="1">
      <c r="A19" s="11"/>
      <c r="B19" s="11"/>
      <c r="C19" s="344"/>
      <c r="D19" s="152" t="str">
        <f>InpAct!D326</f>
        <v>PR14</v>
      </c>
      <c r="E19" s="152" t="str">
        <f>InpAct!E326</f>
        <v>Other tax adjustments (+ or -) Value Chosen - real - Water</v>
      </c>
      <c r="F19" s="44">
        <f>InpAct!F326</f>
        <v>0</v>
      </c>
      <c r="G19" s="44" t="str">
        <f>InpAct!G326</f>
        <v>£m</v>
      </c>
      <c r="H19" s="49">
        <f>InpAct!H326</f>
        <v>0</v>
      </c>
      <c r="I19" s="45"/>
    </row>
    <row r="20" spans="1:9" s="120" customFormat="1">
      <c r="A20" s="11"/>
      <c r="B20" s="11"/>
      <c r="C20" s="344"/>
      <c r="D20" s="152" t="str">
        <f>InpAct!D327</f>
        <v>PR14</v>
      </c>
      <c r="E20" s="152" t="str">
        <f>InpAct!E327</f>
        <v>Other adjustments (+ or -) Value Chosen - real - Water</v>
      </c>
      <c r="F20" s="44">
        <f>InpAct!F327</f>
        <v>0</v>
      </c>
      <c r="G20" s="44" t="str">
        <f>InpAct!G327</f>
        <v>£m</v>
      </c>
      <c r="H20" s="49">
        <f>InpAct!H327</f>
        <v>0</v>
      </c>
      <c r="I20" s="45"/>
    </row>
    <row r="21" spans="1:9" s="120" customFormat="1">
      <c r="A21" s="11"/>
      <c r="B21" s="11"/>
      <c r="C21" s="344"/>
      <c r="D21" s="152" t="str">
        <f>InpAct!D330</f>
        <v>PR14</v>
      </c>
      <c r="E21" s="152" t="str">
        <f>InpAct!E330</f>
        <v>SIM adjustment (+ or -) - real - Wastewater</v>
      </c>
      <c r="F21" s="294">
        <f>InpAct!F330</f>
        <v>0</v>
      </c>
      <c r="G21" s="294" t="str">
        <f>InpAct!G330</f>
        <v>£m</v>
      </c>
      <c r="H21" s="294">
        <f>InpAct!H330</f>
        <v>-8.6570003306088594</v>
      </c>
      <c r="I21" s="45"/>
    </row>
    <row r="22" spans="1:9" s="120" customFormat="1">
      <c r="A22" s="11"/>
      <c r="B22" s="11"/>
      <c r="C22" s="344"/>
      <c r="D22" s="152" t="str">
        <f>InpAct!D331</f>
        <v>PR14</v>
      </c>
      <c r="E22" s="152" t="str">
        <f>InpAct!E331</f>
        <v>Opex incentive allowance (+ only) - real - Wastewater</v>
      </c>
      <c r="F22" s="294">
        <f>InpAct!F331</f>
        <v>0</v>
      </c>
      <c r="G22" s="294" t="str">
        <f>InpAct!G331</f>
        <v>£m</v>
      </c>
      <c r="H22" s="294">
        <f>InpAct!H331</f>
        <v>0</v>
      </c>
      <c r="I22" s="45"/>
    </row>
    <row r="23" spans="1:9" s="120" customFormat="1">
      <c r="A23" s="11"/>
      <c r="B23" s="11"/>
      <c r="C23" s="344"/>
      <c r="D23" s="152" t="str">
        <f>InpAct!D332</f>
        <v>PR14</v>
      </c>
      <c r="E23" s="152" t="str">
        <f>InpAct!E332</f>
        <v>CIS adjustment (+ or -) - real - Wastewater</v>
      </c>
      <c r="F23" s="294">
        <f>InpAct!F332</f>
        <v>0</v>
      </c>
      <c r="G23" s="294" t="str">
        <f>InpAct!G332</f>
        <v>£m</v>
      </c>
      <c r="H23" s="294">
        <f>InpAct!H332</f>
        <v>-15.504804607264999</v>
      </c>
      <c r="I23" s="45"/>
    </row>
    <row r="24" spans="1:9" s="120" customFormat="1">
      <c r="A24" s="11"/>
      <c r="B24" s="11"/>
      <c r="C24" s="344"/>
      <c r="D24" s="152" t="str">
        <f>InpAct!D333</f>
        <v>PR14</v>
      </c>
      <c r="E24" s="152" t="str">
        <f>InpAct!E333</f>
        <v>RCM adjustment (+ or -) - real - Wastewater</v>
      </c>
      <c r="F24" s="294">
        <f>InpAct!F333</f>
        <v>0</v>
      </c>
      <c r="G24" s="294" t="str">
        <f>InpAct!G333</f>
        <v>£m</v>
      </c>
      <c r="H24" s="294">
        <f>InpAct!H333</f>
        <v>14.734171730493999</v>
      </c>
      <c r="I24" s="45"/>
    </row>
    <row r="25" spans="1:9" s="120" customFormat="1">
      <c r="A25" s="11"/>
      <c r="B25" s="11"/>
      <c r="C25" s="344"/>
      <c r="D25" s="152" t="str">
        <f>InpAct!D334</f>
        <v>PR14</v>
      </c>
      <c r="E25" s="152" t="str">
        <f>InpAct!E334</f>
        <v>Equity injection clawback (- only) - real - Wastewater</v>
      </c>
      <c r="F25" s="294">
        <f>InpAct!F334</f>
        <v>0</v>
      </c>
      <c r="G25" s="294" t="str">
        <f>InpAct!G334</f>
        <v>£m</v>
      </c>
      <c r="H25" s="294">
        <f>InpAct!H334</f>
        <v>0</v>
      </c>
      <c r="I25" s="45"/>
    </row>
    <row r="26" spans="1:9" s="120" customFormat="1">
      <c r="A26" s="11"/>
      <c r="B26" s="11"/>
      <c r="C26" s="344"/>
      <c r="D26" s="152" t="str">
        <f>InpAct!D335</f>
        <v>PR14</v>
      </c>
      <c r="E26" s="152" t="str">
        <f>InpAct!E335</f>
        <v>Tax refinancing benefit clawback (- only) - real - Wastewater</v>
      </c>
      <c r="F26" s="294">
        <f>InpAct!F335</f>
        <v>0</v>
      </c>
      <c r="G26" s="294" t="str">
        <f>InpAct!G335</f>
        <v>£m</v>
      </c>
      <c r="H26" s="294">
        <f>InpAct!H335</f>
        <v>0</v>
      </c>
      <c r="I26" s="45"/>
    </row>
    <row r="27" spans="1:9" s="120" customFormat="1">
      <c r="A27" s="11"/>
      <c r="B27" s="11"/>
      <c r="C27" s="344"/>
      <c r="D27" s="152" t="str">
        <f>InpAct!D336</f>
        <v>PR14</v>
      </c>
      <c r="E27" s="152" t="str">
        <f>InpAct!E336</f>
        <v>Outcome delivery incentive (+ or -) - real - Wastewater</v>
      </c>
      <c r="F27" s="294">
        <f>InpAct!F336</f>
        <v>0</v>
      </c>
      <c r="G27" s="294" t="str">
        <f>InpAct!G336</f>
        <v>£m</v>
      </c>
      <c r="H27" s="294">
        <f>InpAct!H336</f>
        <v>0</v>
      </c>
      <c r="I27" s="45"/>
    </row>
    <row r="28" spans="1:9" s="120" customFormat="1">
      <c r="A28" s="11"/>
      <c r="B28" s="11"/>
      <c r="C28" s="344"/>
      <c r="D28" s="152" t="str">
        <f>InpAct!D337</f>
        <v>PR14</v>
      </c>
      <c r="E28" s="152" t="str">
        <f>InpAct!E337</f>
        <v>Totex menu additional income (+ or -) - real - Wastewater</v>
      </c>
      <c r="F28" s="294">
        <f>InpAct!F337</f>
        <v>0</v>
      </c>
      <c r="G28" s="294" t="str">
        <f>InpAct!G337</f>
        <v>£m</v>
      </c>
      <c r="H28" s="294">
        <f>InpAct!H337</f>
        <v>1.4909929953238199</v>
      </c>
      <c r="I28" s="45"/>
    </row>
    <row r="29" spans="1:9" s="120" customFormat="1">
      <c r="A29" s="11"/>
      <c r="B29" s="11"/>
      <c r="C29" s="344"/>
      <c r="D29" s="152" t="str">
        <f>InpAct!D338</f>
        <v>PR14</v>
      </c>
      <c r="E29" s="152" t="str">
        <f>InpAct!E338</f>
        <v>Other tax adjustments (+ or -) Value Chosen - real - Wastewater</v>
      </c>
      <c r="F29" s="294">
        <f>InpAct!F338</f>
        <v>0</v>
      </c>
      <c r="G29" s="294" t="str">
        <f>InpAct!G338</f>
        <v>£m</v>
      </c>
      <c r="H29" s="294">
        <f>InpAct!H338</f>
        <v>0</v>
      </c>
      <c r="I29" s="45"/>
    </row>
    <row r="30" spans="1:9" s="120" customFormat="1">
      <c r="A30" s="11"/>
      <c r="B30" s="11"/>
      <c r="C30" s="344"/>
      <c r="D30" s="152" t="str">
        <f>InpAct!D339</f>
        <v>PR14</v>
      </c>
      <c r="E30" s="152" t="str">
        <f>InpAct!E339</f>
        <v>Other adjustments (+ or -) Value Chosen - real - Wastewater</v>
      </c>
      <c r="F30" s="294">
        <f>InpAct!F339</f>
        <v>0</v>
      </c>
      <c r="G30" s="294" t="str">
        <f>InpAct!G339</f>
        <v>£m</v>
      </c>
      <c r="H30" s="294">
        <f>InpAct!H339</f>
        <v>0</v>
      </c>
      <c r="I30" s="45"/>
    </row>
    <row r="31" spans="1:9" s="120" customFormat="1">
      <c r="A31" s="11"/>
      <c r="B31" s="11"/>
      <c r="C31" s="344"/>
      <c r="D31" s="616" t="str">
        <f>InpC!$F$26</f>
        <v>PR14</v>
      </c>
      <c r="E31" s="156" t="s">
        <v>447</v>
      </c>
      <c r="F31" s="155"/>
      <c r="G31" s="155" t="s">
        <v>2</v>
      </c>
      <c r="H31" s="181">
        <f xml:space="preserve"> SUM(H11:H30) * $F10</f>
        <v>-8.450330828874268</v>
      </c>
      <c r="I31" s="45"/>
    </row>
    <row r="33" spans="1:21" customFormat="1" ht="14.4">
      <c r="A33" s="106"/>
      <c r="B33" s="270" t="s">
        <v>448</v>
      </c>
      <c r="C33" s="164"/>
      <c r="D33" s="109"/>
      <c r="F33" s="274"/>
      <c r="G33" s="274"/>
      <c r="H33" s="271"/>
      <c r="I33" s="271"/>
      <c r="J33" s="271"/>
      <c r="K33" s="271"/>
      <c r="L33" s="271"/>
      <c r="M33" s="271"/>
      <c r="N33" s="271"/>
      <c r="O33" s="271"/>
      <c r="P33" s="271"/>
      <c r="Q33" s="271"/>
      <c r="R33" s="271"/>
      <c r="S33" s="271"/>
      <c r="T33" s="271"/>
      <c r="U33" s="271"/>
    </row>
    <row r="34" spans="1:21">
      <c r="D34" s="152" t="str">
        <f>InpAct!D342</f>
        <v>PR19</v>
      </c>
      <c r="E34" s="152" t="str">
        <f>InpAct!E342</f>
        <v>Water resources - End of Period ODIs (+ or -) Value Chosen - active - real</v>
      </c>
      <c r="F34" s="44">
        <f>InpAct!F342</f>
        <v>0</v>
      </c>
      <c r="G34" s="44" t="str">
        <f>InpAct!G342</f>
        <v>£m</v>
      </c>
      <c r="H34" s="49">
        <f>InpAct!H342</f>
        <v>0</v>
      </c>
    </row>
    <row r="35" spans="1:21">
      <c r="D35" s="152" t="str">
        <f>InpAct!D343</f>
        <v>PR19</v>
      </c>
      <c r="E35" s="152" t="str">
        <f>InpAct!E343</f>
        <v>Water resources - In period ODIs (+ or -) Value Chosen - active - real</v>
      </c>
      <c r="F35" s="44">
        <f>InpAct!F343</f>
        <v>0</v>
      </c>
      <c r="G35" s="44" t="str">
        <f>InpAct!G343</f>
        <v>£m</v>
      </c>
      <c r="H35" s="49">
        <f>InpAct!H343</f>
        <v>0</v>
      </c>
    </row>
    <row r="36" spans="1:21">
      <c r="D36" s="152" t="str">
        <f>InpAct!D344</f>
        <v>PR19</v>
      </c>
      <c r="E36" s="152" t="str">
        <f>InpAct!E344</f>
        <v>Water resources - Totex (+ or -) Value Chosen - active - adjusted - real</v>
      </c>
      <c r="F36" s="44">
        <f>InpAct!F344</f>
        <v>0</v>
      </c>
      <c r="G36" s="44" t="str">
        <f>InpAct!G344</f>
        <v>£m</v>
      </c>
      <c r="H36" s="49">
        <f>InpAct!H344</f>
        <v>0</v>
      </c>
    </row>
    <row r="37" spans="1:21">
      <c r="D37" s="152" t="str">
        <f>InpAct!D345</f>
        <v>PR19</v>
      </c>
      <c r="E37" s="152" t="str">
        <f>InpAct!E345</f>
        <v>Water resources - WRFIM (+ or -) Value Chosen - active - adjusted - real</v>
      </c>
      <c r="F37" s="44">
        <f>InpAct!F345</f>
        <v>0</v>
      </c>
      <c r="G37" s="44" t="str">
        <f>InpAct!G345</f>
        <v>£m</v>
      </c>
      <c r="H37" s="49">
        <f>InpAct!H345</f>
        <v>0</v>
      </c>
    </row>
    <row r="38" spans="1:21">
      <c r="D38" s="152" t="str">
        <f>InpAct!D346</f>
        <v>PR19</v>
      </c>
      <c r="E38" s="152" t="str">
        <f>InpAct!E346</f>
        <v>Water resources - Residential retail mechanism (+ or -) Value Chosen - active - real</v>
      </c>
      <c r="F38" s="44">
        <f>InpAct!F346</f>
        <v>0</v>
      </c>
      <c r="G38" s="44" t="str">
        <f>InpAct!G346</f>
        <v>£m</v>
      </c>
      <c r="H38" s="49">
        <f>InpAct!H346</f>
        <v>0</v>
      </c>
    </row>
    <row r="39" spans="1:21">
      <c r="D39" s="152" t="str">
        <f>InpAct!D347</f>
        <v>PR19</v>
      </c>
      <c r="E39" s="152" t="str">
        <f>InpAct!E347</f>
        <v>Water resources - Blind year (+ or -) Value Chosen - active - real</v>
      </c>
      <c r="F39" s="44">
        <f>InpAct!F347</f>
        <v>0</v>
      </c>
      <c r="G39" s="44" t="str">
        <f>InpAct!G347</f>
        <v>£m</v>
      </c>
      <c r="H39" s="49">
        <f>InpAct!H347</f>
        <v>0</v>
      </c>
    </row>
    <row r="40" spans="1:21">
      <c r="D40" s="152" t="str">
        <f>InpAct!D348</f>
        <v>PR19</v>
      </c>
      <c r="E40" s="152" t="str">
        <f>InpAct!E348</f>
        <v>Water resources - Water trading incentive (+ or -) Value Chosen - active - real</v>
      </c>
      <c r="F40" s="44">
        <f>InpAct!F348</f>
        <v>0</v>
      </c>
      <c r="G40" s="44" t="str">
        <f>InpAct!G348</f>
        <v>£m</v>
      </c>
      <c r="H40" s="49">
        <f>InpAct!H348</f>
        <v>0.17571881381591434</v>
      </c>
    </row>
    <row r="41" spans="1:21">
      <c r="D41" s="152" t="str">
        <f>InpAct!D349</f>
        <v>PR19</v>
      </c>
      <c r="E41" s="152" t="str">
        <f>InpAct!E349</f>
        <v>Water network - End of Period ODIs (+ or -) Value Chosen - active - real</v>
      </c>
      <c r="F41" s="44">
        <f>InpAct!F349</f>
        <v>0</v>
      </c>
      <c r="G41" s="44" t="str">
        <f>InpAct!G349</f>
        <v>£m</v>
      </c>
      <c r="H41" s="49">
        <f>InpAct!H349</f>
        <v>-18.439564592388635</v>
      </c>
    </row>
    <row r="42" spans="1:21">
      <c r="D42" s="152" t="str">
        <f>InpAct!D350</f>
        <v>PR19</v>
      </c>
      <c r="E42" s="152" t="str">
        <f>InpAct!E350</f>
        <v>Water network - In period ODIs (+ or -) Value Chosen - active - real</v>
      </c>
      <c r="F42" s="44">
        <f>InpAct!F350</f>
        <v>0</v>
      </c>
      <c r="G42" s="44" t="str">
        <f>InpAct!G350</f>
        <v>£m</v>
      </c>
      <c r="H42" s="49">
        <f>InpAct!H350</f>
        <v>0</v>
      </c>
    </row>
    <row r="43" spans="1:21">
      <c r="D43" s="152" t="str">
        <f>InpAct!D351</f>
        <v>PR19</v>
      </c>
      <c r="E43" s="152" t="str">
        <f>InpAct!E351</f>
        <v>Water network - Totex (+ or -) Value Chosen - active - adjusted - real</v>
      </c>
      <c r="F43" s="44">
        <f>InpAct!F351</f>
        <v>0</v>
      </c>
      <c r="G43" s="44" t="str">
        <f>InpAct!G351</f>
        <v>£m</v>
      </c>
      <c r="H43" s="49">
        <f>InpAct!H351</f>
        <v>-1.2110419851433987</v>
      </c>
    </row>
    <row r="44" spans="1:21">
      <c r="D44" s="152" t="str">
        <f>InpAct!D352</f>
        <v>PR19</v>
      </c>
      <c r="E44" s="152" t="str">
        <f>InpAct!E352</f>
        <v>Water network - WRFIM (+ or -) Value Chosen - active - adjusted - real</v>
      </c>
      <c r="F44" s="44">
        <f>InpAct!F352</f>
        <v>0</v>
      </c>
      <c r="G44" s="44" t="str">
        <f>InpAct!G352</f>
        <v>£m</v>
      </c>
      <c r="H44" s="49">
        <f>InpAct!H352</f>
        <v>19.064803860905339</v>
      </c>
    </row>
    <row r="45" spans="1:21">
      <c r="D45" s="152" t="str">
        <f>InpAct!D353</f>
        <v>PR19</v>
      </c>
      <c r="E45" s="152" t="str">
        <f>InpAct!E353</f>
        <v>Water network - Residential retail mechanism (+ or -) Value Chosen - active - real</v>
      </c>
      <c r="F45" s="44">
        <f>InpAct!F353</f>
        <v>0</v>
      </c>
      <c r="G45" s="44" t="str">
        <f>InpAct!G353</f>
        <v>£m</v>
      </c>
      <c r="H45" s="49">
        <f>InpAct!H353</f>
        <v>0</v>
      </c>
    </row>
    <row r="46" spans="1:21">
      <c r="D46" s="152" t="str">
        <f>InpAct!D354</f>
        <v>PR19</v>
      </c>
      <c r="E46" s="152" t="str">
        <f>InpAct!E354</f>
        <v>Water network - Blind year (+ or -) Value Chosen - active - real</v>
      </c>
      <c r="F46" s="44">
        <f>InpAct!F354</f>
        <v>0</v>
      </c>
      <c r="G46" s="44" t="str">
        <f>InpAct!G354</f>
        <v>£m</v>
      </c>
      <c r="H46" s="49">
        <f>InpAct!H354</f>
        <v>-0.29632065056929341</v>
      </c>
    </row>
    <row r="47" spans="1:21">
      <c r="D47" s="152" t="str">
        <f>InpAct!D355</f>
        <v>PR19</v>
      </c>
      <c r="E47" s="152" t="str">
        <f>InpAct!E355</f>
        <v>Water network - Water trading incentive (+ or -) Value Chosen - active - real</v>
      </c>
      <c r="F47" s="44">
        <f>InpAct!F355</f>
        <v>0</v>
      </c>
      <c r="G47" s="44" t="str">
        <f>InpAct!G355</f>
        <v>£m</v>
      </c>
      <c r="H47" s="49">
        <f>InpAct!H355</f>
        <v>0</v>
      </c>
    </row>
    <row r="48" spans="1:21">
      <c r="D48" s="152" t="str">
        <f>InpAct!D358</f>
        <v>PR19</v>
      </c>
      <c r="E48" s="152" t="str">
        <f>InpAct!E358</f>
        <v>Wastewater network - End of Period ODIs (+ or -) Value Chosen - active - real</v>
      </c>
      <c r="F48" s="44">
        <f>InpAct!F358</f>
        <v>0</v>
      </c>
      <c r="G48" s="44" t="str">
        <f>InpAct!G358</f>
        <v>£m</v>
      </c>
      <c r="H48" s="49">
        <f>InpAct!H358</f>
        <v>-2.8649152430218865</v>
      </c>
    </row>
    <row r="49" spans="1:9">
      <c r="D49" s="152" t="str">
        <f>InpAct!D359</f>
        <v>PR19</v>
      </c>
      <c r="E49" s="152" t="str">
        <f>InpAct!E359</f>
        <v>Wastewater network - In period ODIs (+ or -) Value Chosen - active - real</v>
      </c>
      <c r="F49" s="44">
        <f>InpAct!F359</f>
        <v>0</v>
      </c>
      <c r="G49" s="44" t="str">
        <f>InpAct!G359</f>
        <v>£m</v>
      </c>
      <c r="H49" s="49">
        <f>InpAct!H359</f>
        <v>0</v>
      </c>
    </row>
    <row r="50" spans="1:9">
      <c r="D50" s="152" t="str">
        <f>InpAct!D360</f>
        <v>PR19</v>
      </c>
      <c r="E50" s="152" t="str">
        <f>InpAct!E360</f>
        <v>Wastewater network - Totex (+ or -) Value Chosen - active - adjusted - real</v>
      </c>
      <c r="F50" s="44">
        <f>InpAct!F360</f>
        <v>0</v>
      </c>
      <c r="G50" s="44" t="str">
        <f>InpAct!G360</f>
        <v>£m</v>
      </c>
      <c r="H50" s="49">
        <f>InpAct!H360</f>
        <v>-0.44728498741093464</v>
      </c>
    </row>
    <row r="51" spans="1:9">
      <c r="D51" s="152" t="str">
        <f>InpAct!D361</f>
        <v>PR19</v>
      </c>
      <c r="E51" s="152" t="str">
        <f>InpAct!E361</f>
        <v>Wastewater network - WRFIM (+ or -) Value Chosen - active - adjusted - real</v>
      </c>
      <c r="F51" s="44">
        <f>InpAct!F361</f>
        <v>0</v>
      </c>
      <c r="G51" s="44" t="str">
        <f>InpAct!G361</f>
        <v>£m</v>
      </c>
      <c r="H51" s="49">
        <f>InpAct!H361</f>
        <v>10.734205248829692</v>
      </c>
    </row>
    <row r="52" spans="1:9" s="120" customFormat="1">
      <c r="A52" s="11"/>
      <c r="B52" s="11"/>
      <c r="C52" s="344"/>
      <c r="D52" s="152" t="str">
        <f>InpAct!D362</f>
        <v>PR19</v>
      </c>
      <c r="E52" s="152" t="str">
        <f>InpAct!E362</f>
        <v>Wastewater network - Residential retail mechanism (+ or -) Value Chosen - active - real</v>
      </c>
      <c r="F52" s="44">
        <f>InpAct!F362</f>
        <v>0</v>
      </c>
      <c r="G52" s="44" t="str">
        <f>InpAct!G362</f>
        <v>£m</v>
      </c>
      <c r="H52" s="49">
        <f>InpAct!H362</f>
        <v>0</v>
      </c>
      <c r="I52" s="45"/>
    </row>
    <row r="53" spans="1:9" s="120" customFormat="1">
      <c r="A53" s="11"/>
      <c r="B53" s="11"/>
      <c r="C53" s="344"/>
      <c r="D53" s="152" t="str">
        <f>InpAct!D363</f>
        <v>PR19</v>
      </c>
      <c r="E53" s="152" t="str">
        <f>InpAct!E363</f>
        <v>Wastewater network - Blind year (+ or -) Value Chosen - active - real</v>
      </c>
      <c r="F53" s="44">
        <f>InpAct!F363</f>
        <v>0</v>
      </c>
      <c r="G53" s="44" t="str">
        <f>InpAct!G363</f>
        <v>£m</v>
      </c>
      <c r="H53" s="49">
        <f>InpAct!H363</f>
        <v>-5.5435591561383202</v>
      </c>
      <c r="I53" s="45"/>
    </row>
    <row r="54" spans="1:9" s="120" customFormat="1">
      <c r="A54" s="11"/>
      <c r="B54" s="11"/>
      <c r="C54" s="344"/>
      <c r="D54" s="152" t="str">
        <f>InpAct!D364</f>
        <v>PR19</v>
      </c>
      <c r="E54" s="152" t="str">
        <f>InpAct!E364</f>
        <v>Wastewater network - Water trading incentive (+ or -) Value Chosen - active - real</v>
      </c>
      <c r="F54" s="44">
        <f>InpAct!F364</f>
        <v>0</v>
      </c>
      <c r="G54" s="44" t="str">
        <f>InpAct!G364</f>
        <v>£m</v>
      </c>
      <c r="H54" s="49">
        <f>InpAct!H364</f>
        <v>0</v>
      </c>
      <c r="I54" s="45"/>
    </row>
    <row r="55" spans="1:9" s="120" customFormat="1">
      <c r="A55" s="11"/>
      <c r="B55" s="11"/>
      <c r="C55" s="344"/>
      <c r="D55" s="152" t="str">
        <f>InpAct!D365</f>
        <v>PR19</v>
      </c>
      <c r="E55" s="152" t="str">
        <f>InpAct!E365</f>
        <v>Bio resources - End of Period ODIs (+ or -) Value Chosen - active - real</v>
      </c>
      <c r="F55" s="44">
        <f>InpAct!F365</f>
        <v>0</v>
      </c>
      <c r="G55" s="44" t="str">
        <f>InpAct!G365</f>
        <v>£m</v>
      </c>
      <c r="H55" s="49">
        <f>InpAct!H365</f>
        <v>0</v>
      </c>
      <c r="I55" s="45"/>
    </row>
    <row r="56" spans="1:9" s="120" customFormat="1">
      <c r="A56" s="11"/>
      <c r="B56" s="11"/>
      <c r="C56" s="344"/>
      <c r="D56" s="152" t="str">
        <f>InpAct!D366</f>
        <v>PR19</v>
      </c>
      <c r="E56" s="152" t="str">
        <f>InpAct!E366</f>
        <v>Bio resources - In period ODIs (+ or -) Value Chosen - active - real</v>
      </c>
      <c r="F56" s="44">
        <f>InpAct!F366</f>
        <v>0</v>
      </c>
      <c r="G56" s="44" t="str">
        <f>InpAct!G366</f>
        <v>£m</v>
      </c>
      <c r="H56" s="49">
        <f>InpAct!H366</f>
        <v>0</v>
      </c>
      <c r="I56" s="45"/>
    </row>
    <row r="57" spans="1:9" s="120" customFormat="1">
      <c r="A57" s="11"/>
      <c r="B57" s="11"/>
      <c r="C57" s="344"/>
      <c r="D57" s="152" t="str">
        <f>InpAct!D367</f>
        <v>PR19</v>
      </c>
      <c r="E57" s="152" t="str">
        <f>InpAct!E367</f>
        <v>Bio resources - Totex (+ or -) Value Chosen - active - adjusted - real</v>
      </c>
      <c r="F57" s="44">
        <f>InpAct!F367</f>
        <v>0</v>
      </c>
      <c r="G57" s="44" t="str">
        <f>InpAct!G367</f>
        <v>£m</v>
      </c>
      <c r="H57" s="49">
        <f>InpAct!H367</f>
        <v>0</v>
      </c>
      <c r="I57" s="45"/>
    </row>
    <row r="58" spans="1:9" s="120" customFormat="1">
      <c r="A58" s="11"/>
      <c r="B58" s="11"/>
      <c r="C58" s="344"/>
      <c r="D58" s="152" t="str">
        <f>InpAct!D368</f>
        <v>PR19</v>
      </c>
      <c r="E58" s="152" t="str">
        <f>InpAct!E368</f>
        <v>Bio resources - WRFIM (+ or -) Value Chosen - active - adjusted - real</v>
      </c>
      <c r="F58" s="44">
        <f>InpAct!F368</f>
        <v>0</v>
      </c>
      <c r="G58" s="44" t="str">
        <f>InpAct!G368</f>
        <v>£m</v>
      </c>
      <c r="H58" s="49">
        <f>InpAct!H368</f>
        <v>0</v>
      </c>
      <c r="I58" s="45"/>
    </row>
    <row r="59" spans="1:9" s="120" customFormat="1">
      <c r="A59" s="11"/>
      <c r="B59" s="11"/>
      <c r="C59" s="344"/>
      <c r="D59" s="152" t="str">
        <f>InpAct!D369</f>
        <v>PR19</v>
      </c>
      <c r="E59" s="152" t="str">
        <f>InpAct!E369</f>
        <v>Bio resources - Residential retail mechanism (+ or -) Value Chosen - active - real</v>
      </c>
      <c r="F59" s="44">
        <f>InpAct!F369</f>
        <v>0</v>
      </c>
      <c r="G59" s="44" t="str">
        <f>InpAct!G369</f>
        <v>£m</v>
      </c>
      <c r="H59" s="49">
        <f>InpAct!H369</f>
        <v>0</v>
      </c>
      <c r="I59" s="45"/>
    </row>
    <row r="60" spans="1:9" s="120" customFormat="1">
      <c r="A60" s="11"/>
      <c r="B60" s="11"/>
      <c r="C60" s="344"/>
      <c r="D60" s="152" t="str">
        <f>InpAct!D370</f>
        <v>PR19</v>
      </c>
      <c r="E60" s="152" t="str">
        <f>InpAct!E370</f>
        <v>Bio resources - Blind year (+ or -) Value Chosen - active - real</v>
      </c>
      <c r="F60" s="44">
        <f>InpAct!F370</f>
        <v>0</v>
      </c>
      <c r="G60" s="44" t="str">
        <f>InpAct!G370</f>
        <v>£m</v>
      </c>
      <c r="H60" s="49">
        <f>InpAct!H370</f>
        <v>0</v>
      </c>
      <c r="I60" s="45"/>
    </row>
    <row r="61" spans="1:9" s="120" customFormat="1">
      <c r="A61" s="11"/>
      <c r="B61" s="11"/>
      <c r="C61" s="344"/>
      <c r="D61" s="152" t="str">
        <f>InpAct!D371</f>
        <v>PR19</v>
      </c>
      <c r="E61" s="152" t="str">
        <f>InpAct!E371</f>
        <v>Bio resources - Water trading incentive (+ or -) Value Chosen - active - real</v>
      </c>
      <c r="F61" s="44">
        <f>InpAct!F371</f>
        <v>0</v>
      </c>
      <c r="G61" s="44" t="str">
        <f>InpAct!G371</f>
        <v>£m</v>
      </c>
      <c r="H61" s="49">
        <f>InpAct!H371</f>
        <v>0</v>
      </c>
      <c r="I61" s="45"/>
    </row>
    <row r="62" spans="1:9" s="120" customFormat="1">
      <c r="A62" s="11"/>
      <c r="B62" s="11"/>
      <c r="C62" s="344"/>
      <c r="D62" s="616" t="str">
        <f>InpC!$F$27</f>
        <v>PR19</v>
      </c>
      <c r="E62" s="156" t="s">
        <v>446</v>
      </c>
      <c r="F62" s="155"/>
      <c r="G62" s="155" t="s">
        <v>2</v>
      </c>
      <c r="H62" s="181">
        <f>SUM(H34:H61)</f>
        <v>1.1720413088784776</v>
      </c>
      <c r="I62" s="45"/>
    </row>
    <row r="63" spans="1:9" s="120" customFormat="1">
      <c r="A63" s="11"/>
      <c r="B63" s="11"/>
      <c r="C63" s="344"/>
      <c r="D63" s="617"/>
      <c r="E63" s="160"/>
      <c r="F63" s="231"/>
      <c r="G63" s="231"/>
      <c r="H63" s="229"/>
      <c r="I63" s="45"/>
    </row>
    <row r="64" spans="1:9" s="120" customFormat="1">
      <c r="A64" s="11"/>
      <c r="B64" s="11"/>
      <c r="C64" s="344"/>
      <c r="D64" s="85" t="str">
        <f>D$31</f>
        <v>PR14</v>
      </c>
      <c r="E64" s="85" t="str">
        <f t="shared" ref="E64:H64" si="0">E$31</f>
        <v>PR14 reconciliation items - 2017/18 year average CPIH deflated</v>
      </c>
      <c r="F64" s="182">
        <f t="shared" si="0"/>
        <v>0</v>
      </c>
      <c r="G64" s="182" t="str">
        <f t="shared" si="0"/>
        <v>£m</v>
      </c>
      <c r="H64" s="182">
        <f t="shared" si="0"/>
        <v>-8.450330828874268</v>
      </c>
      <c r="I64" s="45"/>
    </row>
    <row r="65" spans="1:10" s="120" customFormat="1">
      <c r="A65" s="11"/>
      <c r="B65" s="11"/>
      <c r="C65" s="344"/>
      <c r="D65" s="85" t="str">
        <f>D$62</f>
        <v>PR19</v>
      </c>
      <c r="E65" s="85" t="str">
        <f t="shared" ref="E65:H65" si="1">E$62</f>
        <v>PR19 wholesale reconciliation items - real</v>
      </c>
      <c r="F65" s="182">
        <f t="shared" si="1"/>
        <v>0</v>
      </c>
      <c r="G65" s="182" t="str">
        <f t="shared" si="1"/>
        <v>£m</v>
      </c>
      <c r="H65" s="182">
        <f t="shared" si="1"/>
        <v>1.1720413088784776</v>
      </c>
      <c r="I65" s="45"/>
    </row>
    <row r="66" spans="1:10" s="120" customFormat="1">
      <c r="A66" s="11"/>
      <c r="B66" s="11"/>
      <c r="C66" s="344"/>
      <c r="D66" s="158"/>
      <c r="E66" s="166" t="s">
        <v>443</v>
      </c>
      <c r="F66" s="167"/>
      <c r="G66" s="167" t="s">
        <v>2</v>
      </c>
      <c r="H66" s="292">
        <f>H65 - H64</f>
        <v>9.6223721377527447</v>
      </c>
      <c r="I66" s="45"/>
      <c r="J66" s="120" t="s">
        <v>502</v>
      </c>
    </row>
    <row r="67" spans="1:10" s="120" customFormat="1">
      <c r="A67" s="11"/>
      <c r="B67" s="11"/>
      <c r="C67" s="344"/>
      <c r="D67" s="158"/>
      <c r="E67" s="166"/>
      <c r="F67" s="167"/>
      <c r="G67" s="167"/>
      <c r="H67" s="292"/>
      <c r="I67" s="45"/>
    </row>
    <row r="68" spans="1:10" s="42" customFormat="1">
      <c r="A68" s="48"/>
      <c r="B68" s="48"/>
      <c r="C68" s="344"/>
      <c r="D68" s="152"/>
      <c r="E68" s="152"/>
      <c r="F68" s="44"/>
      <c r="G68" s="44"/>
      <c r="H68" s="152"/>
      <c r="I68" s="45"/>
    </row>
    <row r="69" spans="1:10" s="75" customFormat="1">
      <c r="A69" s="38" t="s">
        <v>6</v>
      </c>
      <c r="B69" s="38"/>
      <c r="C69" s="347"/>
      <c r="D69" s="162"/>
      <c r="E69" s="151"/>
      <c r="F69" s="133"/>
      <c r="G69" s="153"/>
      <c r="H69" s="38"/>
      <c r="I69" s="38"/>
      <c r="J69" s="38"/>
    </row>
    <row r="71" spans="1:10">
      <c r="D71" s="168" t="s">
        <v>28</v>
      </c>
      <c r="E71" s="119"/>
      <c r="F71" s="149"/>
      <c r="G71" s="149"/>
      <c r="H71" s="119"/>
      <c r="I71" s="57"/>
    </row>
    <row r="72" spans="1:10">
      <c r="D72" s="759" t="str">
        <f>D$31</f>
        <v>PR14</v>
      </c>
      <c r="E72" s="759" t="str">
        <f t="shared" ref="E72:G72" si="2">E$31</f>
        <v>PR14 reconciliation items - 2017/18 year average CPIH deflated</v>
      </c>
      <c r="F72" s="711">
        <f t="shared" si="2"/>
        <v>0</v>
      </c>
      <c r="G72" s="711" t="str">
        <f t="shared" si="2"/>
        <v>£m</v>
      </c>
      <c r="H72" s="711">
        <f>SUM(H11:H20)*$F$10</f>
        <v>0.67475035998592647</v>
      </c>
      <c r="I72" s="57"/>
    </row>
    <row r="73" spans="1:10">
      <c r="D73" s="759" t="str">
        <f>D$62</f>
        <v>PR19</v>
      </c>
      <c r="E73" s="759" t="str">
        <f t="shared" ref="E73:G73" si="3">E$62</f>
        <v>PR19 wholesale reconciliation items - real</v>
      </c>
      <c r="F73" s="711">
        <f t="shared" si="3"/>
        <v>0</v>
      </c>
      <c r="G73" s="711" t="str">
        <f t="shared" si="3"/>
        <v>£m</v>
      </c>
      <c r="H73" s="711">
        <f>SUM(H34:H47)</f>
        <v>-0.70640455338007269</v>
      </c>
      <c r="I73" s="57"/>
    </row>
    <row r="74" spans="1:10">
      <c r="D74" s="158"/>
      <c r="E74" s="166" t="s">
        <v>443</v>
      </c>
      <c r="F74" s="167"/>
      <c r="G74" s="167" t="s">
        <v>2</v>
      </c>
      <c r="H74" s="770">
        <f>H73 - H72</f>
        <v>-1.3811549133659993</v>
      </c>
    </row>
    <row r="75" spans="1:10">
      <c r="D75" s="158"/>
      <c r="E75" s="158"/>
      <c r="F75" s="149"/>
      <c r="G75" s="149"/>
      <c r="H75" s="119"/>
      <c r="I75" s="179"/>
    </row>
    <row r="76" spans="1:10">
      <c r="D76" s="168" t="s">
        <v>7</v>
      </c>
      <c r="E76" s="119"/>
      <c r="F76" s="149"/>
      <c r="G76" s="149"/>
      <c r="H76" s="119"/>
      <c r="I76" s="179"/>
    </row>
    <row r="77" spans="1:10">
      <c r="D77" s="759" t="str">
        <f>D$31</f>
        <v>PR14</v>
      </c>
      <c r="E77" s="759" t="str">
        <f t="shared" ref="E77:G77" si="4">E$31</f>
        <v>PR14 reconciliation items - 2017/18 year average CPIH deflated</v>
      </c>
      <c r="F77" s="711">
        <f t="shared" si="4"/>
        <v>0</v>
      </c>
      <c r="G77" s="711" t="str">
        <f t="shared" si="4"/>
        <v>£m</v>
      </c>
      <c r="H77" s="711">
        <f>SUM(H21:H30)*$F$10</f>
        <v>-9.1250811888601984</v>
      </c>
      <c r="I77" s="179"/>
    </row>
    <row r="78" spans="1:10">
      <c r="D78" s="759" t="str">
        <f>D$62</f>
        <v>PR19</v>
      </c>
      <c r="E78" s="759" t="str">
        <f t="shared" ref="E78:G78" si="5">E$62</f>
        <v>PR19 wholesale reconciliation items - real</v>
      </c>
      <c r="F78" s="711">
        <f t="shared" si="5"/>
        <v>0</v>
      </c>
      <c r="G78" s="711" t="str">
        <f t="shared" si="5"/>
        <v>£m</v>
      </c>
      <c r="H78" s="711">
        <f>SUM(H48:H61)</f>
        <v>1.8784458622585509</v>
      </c>
    </row>
    <row r="79" spans="1:10">
      <c r="D79" s="158"/>
      <c r="E79" s="166" t="s">
        <v>443</v>
      </c>
      <c r="F79" s="167"/>
      <c r="G79" s="167" t="s">
        <v>2</v>
      </c>
      <c r="H79" s="770">
        <f>H78 - H77</f>
        <v>11.003527051118748</v>
      </c>
    </row>
    <row r="80" spans="1:10">
      <c r="D80" s="158"/>
      <c r="E80" s="158"/>
      <c r="F80" s="149"/>
      <c r="G80" s="149"/>
      <c r="H80" s="119"/>
      <c r="I80" s="179"/>
    </row>
    <row r="81" spans="4:9">
      <c r="D81" s="158"/>
      <c r="E81" s="158" t="s">
        <v>376</v>
      </c>
      <c r="F81" s="149"/>
      <c r="G81" s="149"/>
      <c r="H81" s="711">
        <f>SUM(H79,H74)-H66</f>
        <v>0</v>
      </c>
      <c r="I81" s="179"/>
    </row>
    <row r="82" spans="4:9">
      <c r="I82" s="57"/>
    </row>
    <row r="83" spans="4:9">
      <c r="I83" s="179"/>
    </row>
    <row r="84" spans="4:9">
      <c r="I84" s="57"/>
    </row>
    <row r="85" spans="4:9">
      <c r="I85" s="75"/>
    </row>
  </sheetData>
  <conditionalFormatting sqref="F1">
    <cfRule type="cellIs" dxfId="43" priority="9" stopIfTrue="1" operator="notEqual">
      <formula>0</formula>
    </cfRule>
    <cfRule type="cellIs" dxfId="42" priority="10" stopIfTrue="1" operator="equal">
      <formula>""</formula>
    </cfRule>
  </conditionalFormatting>
  <conditionalFormatting sqref="F2">
    <cfRule type="cellIs" dxfId="41" priority="1" stopIfTrue="1" operator="notEqual">
      <formula>0</formula>
    </cfRule>
    <cfRule type="cellIs" dxfId="40" priority="2" stopIfTrue="1" operator="equal">
      <formula>""</formula>
    </cfRule>
  </conditionalFormatting>
  <pageMargins left="0.70866141732283472" right="0.70866141732283472" top="0.74803149606299213" bottom="0.74803149606299213" header="0.31496062992125984" footer="0.31496062992125984"/>
  <pageSetup paperSize="9" scale="45" fitToHeight="0" orientation="portrait" r:id="rId1"/>
  <headerFooter>
    <oddHeader>&amp;LPage &amp;P of &amp;N&amp;CSheet:&amp;A</oddHeader>
    <oddFooter>&amp;L&amp;F ( Printed on &amp;D at &amp;T )&amp;ROFWAT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outlinePr summaryBelow="0" summaryRight="0"/>
    <pageSetUpPr fitToPage="1"/>
  </sheetPr>
  <dimension ref="A1:L63"/>
  <sheetViews>
    <sheetView showGridLines="0" defaultGridColor="0" colorId="22" zoomScale="80" workbookViewId="0">
      <pane ySplit="5" topLeftCell="A6" activePane="bottomLeft" state="frozen"/>
      <selection pane="bottomLeft" activeCell="H19" sqref="H19"/>
    </sheetView>
  </sheetViews>
  <sheetFormatPr defaultColWidth="0" defaultRowHeight="13.2"/>
  <cols>
    <col min="1" max="2" width="1.21875" style="11" customWidth="1"/>
    <col min="3" max="3" width="1.21875" style="12" customWidth="1"/>
    <col min="4" max="4" width="5.77734375" style="13" customWidth="1"/>
    <col min="5" max="5" width="75.77734375" style="14" customWidth="1"/>
    <col min="6" max="6" width="12.77734375" style="14" customWidth="1"/>
    <col min="7" max="7" width="11.77734375" style="14" customWidth="1"/>
    <col min="8" max="8" width="15.77734375" style="14" customWidth="1"/>
    <col min="9" max="9" width="3.77734375" style="45" customWidth="1"/>
    <col min="10" max="10" width="33.77734375" style="45" customWidth="1"/>
    <col min="11" max="11" width="10.77734375" style="45" hidden="1" customWidth="1"/>
    <col min="12" max="12" width="11.77734375" style="45" hidden="1" customWidth="1"/>
    <col min="13" max="16384" width="9.21875" style="45" hidden="1"/>
  </cols>
  <sheetData>
    <row r="1" spans="1:11" ht="24.6">
      <c r="A1" s="1" t="str">
        <f ca="1" xml:space="preserve"> RIGHT(CELL("filename", $A$1), LEN(CELL("filename", $A$1)) - SEARCH("]", CELL("filename", $A$1)))</f>
        <v>Retail</v>
      </c>
      <c r="B1" s="1"/>
      <c r="C1" s="2"/>
      <c r="D1" s="3"/>
      <c r="E1" s="4"/>
      <c r="F1" s="595">
        <f>Check!F2</f>
        <v>0</v>
      </c>
      <c r="G1" s="353" t="s">
        <v>239</v>
      </c>
      <c r="H1" s="6"/>
    </row>
    <row r="2" spans="1:11">
      <c r="A2" s="7"/>
      <c r="B2" s="7"/>
      <c r="C2" s="8"/>
      <c r="D2" s="9"/>
      <c r="E2" s="10"/>
      <c r="F2" s="336">
        <f>Check!F3</f>
        <v>93</v>
      </c>
      <c r="G2" s="569" t="s">
        <v>352</v>
      </c>
      <c r="H2" s="6"/>
    </row>
    <row r="3" spans="1:11">
      <c r="A3" s="7"/>
      <c r="B3" s="7"/>
      <c r="C3" s="8"/>
      <c r="D3" s="9"/>
      <c r="E3" s="10"/>
      <c r="F3" s="6"/>
      <c r="G3" s="6"/>
      <c r="H3" s="6"/>
    </row>
    <row r="4" spans="1:11">
      <c r="A4" s="7"/>
      <c r="B4" s="7"/>
      <c r="C4" s="8"/>
      <c r="D4" s="9"/>
      <c r="E4" s="10"/>
      <c r="F4" s="6"/>
      <c r="G4" s="6"/>
      <c r="H4" s="6"/>
    </row>
    <row r="5" spans="1:11">
      <c r="A5" s="7"/>
      <c r="B5" s="7"/>
      <c r="C5" s="8"/>
      <c r="D5" s="9"/>
      <c r="E5" s="10"/>
      <c r="F5" s="80" t="s">
        <v>0</v>
      </c>
      <c r="G5" s="80" t="s">
        <v>1</v>
      </c>
      <c r="H5" s="80" t="s">
        <v>22</v>
      </c>
      <c r="I5" s="81"/>
      <c r="J5" s="7" t="s">
        <v>89</v>
      </c>
    </row>
    <row r="7" spans="1:11" s="65" customFormat="1" ht="15" customHeight="1">
      <c r="A7" s="15" t="s">
        <v>140</v>
      </c>
      <c r="B7" s="15"/>
      <c r="C7" s="16"/>
      <c r="D7" s="17"/>
      <c r="E7" s="15"/>
      <c r="F7" s="15"/>
      <c r="G7" s="15"/>
      <c r="H7" s="15"/>
      <c r="I7" s="15"/>
      <c r="J7" s="15"/>
    </row>
    <row r="9" spans="1:11">
      <c r="B9" s="11" t="s">
        <v>24</v>
      </c>
      <c r="I9" s="42"/>
    </row>
    <row r="10" spans="1:11">
      <c r="I10" s="42"/>
    </row>
    <row r="11" spans="1:11" ht="13.8">
      <c r="A11" s="448"/>
      <c r="B11" s="620" t="s">
        <v>421</v>
      </c>
      <c r="C11" s="563"/>
      <c r="D11" s="564"/>
      <c r="E11" s="45"/>
      <c r="F11" s="448"/>
      <c r="G11" s="564"/>
      <c r="H11" s="448"/>
      <c r="I11" s="193"/>
      <c r="J11" s="193"/>
    </row>
    <row r="12" spans="1:11" ht="12.75" customHeight="1">
      <c r="A12" s="25"/>
      <c r="B12" s="18"/>
      <c r="C12" s="19"/>
      <c r="D12" s="86"/>
      <c r="E12" s="110" t="str">
        <f>InpC!E$36</f>
        <v>Company type switch</v>
      </c>
      <c r="F12" s="412">
        <f>InpC!F$36</f>
        <v>0</v>
      </c>
      <c r="G12" s="110" t="str">
        <f>InpC!G$36</f>
        <v xml:space="preserve">0 = WaSC, 1 = WoC </v>
      </c>
      <c r="H12" s="110"/>
      <c r="J12" s="117"/>
      <c r="K12" s="83"/>
    </row>
    <row r="13" spans="1:11">
      <c r="D13" s="152" t="str">
        <f>InpAct!D$35</f>
        <v>PR14</v>
      </c>
      <c r="E13" s="152" t="str">
        <f>InpAct!E$35</f>
        <v>Retail allowed revenue per customer: single service</v>
      </c>
      <c r="F13" s="44">
        <f>InpAct!F$35</f>
        <v>0</v>
      </c>
      <c r="G13" s="44" t="str">
        <f>InpAct!G$35</f>
        <v>£</v>
      </c>
      <c r="H13" s="49">
        <f>InpAct!H$35</f>
        <v>27.091142525470477</v>
      </c>
    </row>
    <row r="14" spans="1:11" s="42" customFormat="1">
      <c r="A14" s="48"/>
      <c r="B14" s="48"/>
      <c r="C14" s="53"/>
      <c r="D14" s="49" t="str">
        <f>InpAct!D$36</f>
        <v>PR14</v>
      </c>
      <c r="E14" s="49" t="str">
        <f>InpAct!E$36</f>
        <v>Retail allowed revenue per customer: joint services</v>
      </c>
      <c r="F14" s="294">
        <f>InpAct!F$36</f>
        <v>0</v>
      </c>
      <c r="G14" s="294" t="str">
        <f>InpAct!G$36</f>
        <v>£</v>
      </c>
      <c r="H14" s="49">
        <f>InpAct!H$36</f>
        <v>35.218485283111619</v>
      </c>
      <c r="I14" s="45"/>
    </row>
    <row r="15" spans="1:11" s="120" customFormat="1">
      <c r="A15" s="11"/>
      <c r="B15" s="11"/>
      <c r="C15" s="12"/>
      <c r="D15" s="49" t="str">
        <f>InpC!$F$26</f>
        <v>PR14</v>
      </c>
      <c r="E15" s="142" t="s">
        <v>68</v>
      </c>
      <c r="F15" s="610"/>
      <c r="G15" s="610" t="s">
        <v>60</v>
      </c>
      <c r="H15" s="142">
        <f xml:space="preserve"> IF(F$12 = 1, H13, H14)</f>
        <v>35.218485283111619</v>
      </c>
      <c r="I15" s="42"/>
    </row>
    <row r="16" spans="1:11" s="120" customFormat="1">
      <c r="A16" s="11"/>
      <c r="B16" s="11"/>
      <c r="C16" s="12"/>
      <c r="D16" s="49"/>
      <c r="E16" s="142"/>
      <c r="F16" s="610"/>
      <c r="G16" s="610"/>
      <c r="H16" s="142"/>
      <c r="I16" s="42"/>
    </row>
    <row r="17" spans="1:11" ht="12.75" customHeight="1">
      <c r="A17" s="25"/>
      <c r="B17" s="18"/>
      <c r="C17" s="19"/>
      <c r="D17" s="86"/>
      <c r="E17" s="110" t="str">
        <f>InpC!E$36</f>
        <v>Company type switch</v>
      </c>
      <c r="F17" s="412">
        <f>InpC!F$36</f>
        <v>0</v>
      </c>
      <c r="G17" s="110" t="str">
        <f>InpC!G$36</f>
        <v xml:space="preserve">0 = WaSC, 1 = WoC </v>
      </c>
      <c r="H17" s="110"/>
      <c r="J17" s="117"/>
      <c r="K17" s="83"/>
    </row>
    <row r="18" spans="1:11" s="42" customFormat="1">
      <c r="A18" s="48"/>
      <c r="B18" s="48"/>
      <c r="C18" s="53"/>
      <c r="D18" s="49" t="str">
        <f>InpAct!D$38</f>
        <v>PR19</v>
      </c>
      <c r="E18" s="49" t="str">
        <f>InpAct!E$38</f>
        <v>Retail allowed revenue per customer: single service - real</v>
      </c>
      <c r="F18" s="294">
        <f>InpAct!F$38</f>
        <v>0</v>
      </c>
      <c r="G18" s="294" t="str">
        <f>InpAct!G$38</f>
        <v>£</v>
      </c>
      <c r="H18" s="49">
        <f>InpAct!H$38</f>
        <v>14.736192203084999</v>
      </c>
      <c r="I18" s="45"/>
    </row>
    <row r="19" spans="1:11" s="120" customFormat="1">
      <c r="A19" s="11"/>
      <c r="B19" s="11"/>
      <c r="C19" s="12"/>
      <c r="D19" s="49" t="str">
        <f>InpAct!D39</f>
        <v>PR19</v>
      </c>
      <c r="E19" s="49" t="str">
        <f>InpAct!E39</f>
        <v>Retail allowed revenue per customer: joint service - real</v>
      </c>
      <c r="F19" s="49">
        <f>InpAct!F39</f>
        <v>0</v>
      </c>
      <c r="G19" s="294" t="str">
        <f>InpAct!G39</f>
        <v>£</v>
      </c>
      <c r="H19" s="49">
        <f>InpAct!H39</f>
        <v>29.511196849599258</v>
      </c>
      <c r="I19" s="42"/>
    </row>
    <row r="20" spans="1:11" s="120" customFormat="1">
      <c r="A20" s="11"/>
      <c r="B20" s="11"/>
      <c r="C20" s="12"/>
      <c r="D20" s="49" t="str">
        <f>InpC!$F$27</f>
        <v>PR19</v>
      </c>
      <c r="E20" s="142" t="s">
        <v>68</v>
      </c>
      <c r="F20" s="610"/>
      <c r="G20" s="610" t="s">
        <v>60</v>
      </c>
      <c r="H20" s="142">
        <f xml:space="preserve"> IF(F$17 = 1, H18, H19)</f>
        <v>29.511196849599258</v>
      </c>
      <c r="I20" s="42"/>
    </row>
    <row r="21" spans="1:11" s="42" customFormat="1">
      <c r="A21" s="48"/>
      <c r="B21" s="48"/>
      <c r="C21" s="53"/>
      <c r="D21" s="49"/>
      <c r="E21" s="49"/>
      <c r="F21" s="294"/>
      <c r="G21" s="294"/>
      <c r="H21" s="49"/>
    </row>
    <row r="22" spans="1:11" s="42" customFormat="1">
      <c r="A22" s="48"/>
      <c r="B22" s="48"/>
      <c r="C22" s="53"/>
      <c r="D22" s="142" t="str">
        <f>D$15</f>
        <v>PR14</v>
      </c>
      <c r="E22" s="142" t="str">
        <f t="shared" ref="E22:H22" si="0">E$15</f>
        <v>Retail allowed revenue per customer</v>
      </c>
      <c r="F22" s="610">
        <f t="shared" si="0"/>
        <v>0</v>
      </c>
      <c r="G22" s="610" t="str">
        <f t="shared" si="0"/>
        <v>£</v>
      </c>
      <c r="H22" s="142">
        <f t="shared" si="0"/>
        <v>35.218485283111619</v>
      </c>
      <c r="I22" s="120"/>
    </row>
    <row r="23" spans="1:11" s="42" customFormat="1">
      <c r="A23" s="48"/>
      <c r="B23" s="48"/>
      <c r="C23" s="53"/>
      <c r="D23" s="142" t="str">
        <f>D$20</f>
        <v>PR19</v>
      </c>
      <c r="E23" s="142" t="str">
        <f t="shared" ref="E23:H23" si="1">E$20</f>
        <v>Retail allowed revenue per customer</v>
      </c>
      <c r="F23" s="610">
        <f t="shared" si="1"/>
        <v>0</v>
      </c>
      <c r="G23" s="610" t="str">
        <f t="shared" si="1"/>
        <v>£</v>
      </c>
      <c r="H23" s="142">
        <f t="shared" si="1"/>
        <v>29.511196849599258</v>
      </c>
      <c r="I23" s="45"/>
    </row>
    <row r="24" spans="1:11" s="57" customFormat="1">
      <c r="A24" s="54"/>
      <c r="B24" s="54"/>
      <c r="C24" s="55"/>
      <c r="D24" s="56"/>
      <c r="E24" s="37" t="s">
        <v>44</v>
      </c>
      <c r="F24" s="56"/>
      <c r="G24" s="56" t="s">
        <v>60</v>
      </c>
      <c r="H24" s="348">
        <f>H23-H22</f>
        <v>-5.7072884335123604</v>
      </c>
      <c r="I24" s="45"/>
      <c r="J24" s="120" t="s">
        <v>502</v>
      </c>
    </row>
    <row r="27" spans="1:11" s="75" customFormat="1">
      <c r="A27" s="38" t="s">
        <v>6</v>
      </c>
      <c r="B27" s="38"/>
      <c r="C27" s="39"/>
      <c r="D27" s="40"/>
      <c r="E27" s="39"/>
      <c r="F27" s="41"/>
      <c r="G27" s="38"/>
      <c r="H27" s="38"/>
      <c r="I27" s="38"/>
      <c r="J27" s="38"/>
    </row>
    <row r="49" spans="9:9">
      <c r="I49" s="57"/>
    </row>
    <row r="50" spans="9:9">
      <c r="I50" s="57"/>
    </row>
    <row r="51" spans="9:9">
      <c r="I51" s="57"/>
    </row>
    <row r="53" spans="9:9">
      <c r="I53" s="179"/>
    </row>
    <row r="54" spans="9:9">
      <c r="I54" s="179"/>
    </row>
    <row r="55" spans="9:9">
      <c r="I55" s="179"/>
    </row>
    <row r="58" spans="9:9">
      <c r="I58" s="179"/>
    </row>
    <row r="59" spans="9:9">
      <c r="I59" s="179"/>
    </row>
    <row r="60" spans="9:9">
      <c r="I60" s="57"/>
    </row>
    <row r="61" spans="9:9">
      <c r="I61" s="179"/>
    </row>
    <row r="62" spans="9:9">
      <c r="I62" s="57"/>
    </row>
    <row r="63" spans="9:9">
      <c r="I63" s="75"/>
    </row>
  </sheetData>
  <conditionalFormatting sqref="F1">
    <cfRule type="cellIs" dxfId="39" priority="7" stopIfTrue="1" operator="notEqual">
      <formula>0</formula>
    </cfRule>
    <cfRule type="cellIs" dxfId="38" priority="8" stopIfTrue="1" operator="equal">
      <formula>""</formula>
    </cfRule>
  </conditionalFormatting>
  <conditionalFormatting sqref="F2">
    <cfRule type="cellIs" dxfId="37" priority="1" stopIfTrue="1" operator="notEqual">
      <formula>0</formula>
    </cfRule>
    <cfRule type="cellIs" dxfId="36" priority="2" stopIfTrue="1" operator="equal">
      <formula>""</formula>
    </cfRule>
  </conditionalFormatting>
  <pageMargins left="0.70866141732283472" right="0.70866141732283472" top="0.74803149606299213" bottom="0.74803149606299213" header="0.31496062992125984" footer="0.31496062992125984"/>
  <pageSetup paperSize="9" scale="53" fitToHeight="0" orientation="portrait" r:id="rId1"/>
  <headerFooter>
    <oddHeader>&amp;LPage &amp;P of &amp;N&amp;CSheet:&amp;A</oddHeader>
    <oddFooter>&amp;L&amp;F ( Printed on &amp;D at &amp;T )&amp;ROFWAT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outlinePr summaryBelow="0" summaryRight="0"/>
    <pageSetUpPr fitToPage="1"/>
  </sheetPr>
  <dimension ref="A1:U165"/>
  <sheetViews>
    <sheetView showGridLines="0" defaultGridColor="0" colorId="22" zoomScale="80" zoomScaleNormal="80" workbookViewId="0">
      <pane ySplit="5" topLeftCell="A78" activePane="bottomLeft" state="frozen"/>
      <selection pane="bottomLeft" activeCell="H94" sqref="H94"/>
    </sheetView>
  </sheetViews>
  <sheetFormatPr defaultColWidth="9.21875" defaultRowHeight="13.2" outlineLevelRow="1"/>
  <cols>
    <col min="1" max="2" width="1.21875" style="11" customWidth="1"/>
    <col min="3" max="3" width="1.21875" style="12" customWidth="1"/>
    <col min="4" max="4" width="5.77734375" style="137" customWidth="1"/>
    <col min="5" max="5" width="119.21875" style="137" customWidth="1"/>
    <col min="6" max="6" width="12.77734375" style="13" customWidth="1"/>
    <col min="7" max="7" width="11.77734375" style="13" customWidth="1"/>
    <col min="8" max="8" width="15.77734375" style="14" customWidth="1"/>
    <col min="9" max="9" width="3.77734375" style="45" customWidth="1"/>
    <col min="10" max="10" width="48" style="45" customWidth="1"/>
    <col min="11" max="11" width="10.77734375" style="45" hidden="1" customWidth="1"/>
    <col min="12" max="12" width="11.77734375" style="45" hidden="1" customWidth="1"/>
    <col min="13" max="16383" width="0" style="45" hidden="1" customWidth="1"/>
    <col min="16384" max="16384" width="0.21875" style="45" customWidth="1"/>
  </cols>
  <sheetData>
    <row r="1" spans="1:21" ht="24.6">
      <c r="A1" s="1" t="str">
        <f ca="1" xml:space="preserve"> RIGHT(CELL("filename", $A$1), LEN(CELL("filename", $A$1)) - SEARCH("]", CELL("filename", $A$1)))</f>
        <v>Customers</v>
      </c>
      <c r="B1" s="1"/>
      <c r="C1" s="2"/>
      <c r="D1" s="150"/>
      <c r="E1" s="150"/>
      <c r="F1" s="352">
        <f>Check!F2</f>
        <v>0</v>
      </c>
      <c r="G1" s="353" t="s">
        <v>239</v>
      </c>
      <c r="H1" s="6"/>
    </row>
    <row r="2" spans="1:21">
      <c r="A2" s="7"/>
      <c r="B2" s="7"/>
      <c r="C2" s="8"/>
      <c r="D2" s="161"/>
      <c r="E2" s="91"/>
      <c r="F2" s="336">
        <f>Check!F3</f>
        <v>93</v>
      </c>
      <c r="G2" s="569" t="s">
        <v>352</v>
      </c>
      <c r="H2" s="6"/>
    </row>
    <row r="3" spans="1:21">
      <c r="A3" s="7"/>
      <c r="B3" s="7"/>
      <c r="C3" s="8"/>
      <c r="D3" s="161"/>
      <c r="E3" s="91"/>
      <c r="F3" s="121"/>
      <c r="G3" s="121"/>
      <c r="H3" s="6"/>
    </row>
    <row r="4" spans="1:21">
      <c r="A4" s="7"/>
      <c r="B4" s="7"/>
      <c r="C4" s="8"/>
      <c r="D4" s="161"/>
      <c r="E4" s="91"/>
      <c r="F4" s="121"/>
      <c r="G4" s="121"/>
      <c r="H4" s="6"/>
    </row>
    <row r="5" spans="1:21">
      <c r="A5" s="7"/>
      <c r="B5" s="7"/>
      <c r="C5" s="8"/>
      <c r="D5" s="161"/>
      <c r="E5" s="91"/>
      <c r="F5" s="122" t="s">
        <v>0</v>
      </c>
      <c r="G5" s="122" t="s">
        <v>1</v>
      </c>
      <c r="H5" s="141" t="s">
        <v>22</v>
      </c>
      <c r="I5" s="81"/>
      <c r="J5" s="7" t="s">
        <v>89</v>
      </c>
    </row>
    <row r="7" spans="1:21" s="65" customFormat="1" ht="15" customHeight="1">
      <c r="A7" s="15" t="s">
        <v>137</v>
      </c>
      <c r="B7" s="15"/>
      <c r="C7" s="16"/>
      <c r="D7" s="135"/>
      <c r="E7" s="135"/>
      <c r="F7" s="17"/>
      <c r="G7" s="17"/>
      <c r="H7" s="15"/>
      <c r="I7" s="15"/>
      <c r="J7" s="15"/>
      <c r="K7" s="82"/>
    </row>
    <row r="8" spans="1:21" ht="12.75" customHeight="1">
      <c r="E8" s="136"/>
      <c r="F8" s="123"/>
      <c r="G8" s="123"/>
      <c r="H8" s="33"/>
      <c r="J8" s="82"/>
      <c r="K8" s="82"/>
    </row>
    <row r="9" spans="1:21" ht="14.4">
      <c r="B9" s="11" t="s">
        <v>20</v>
      </c>
      <c r="F9" s="125"/>
      <c r="G9" s="125"/>
      <c r="J9" s="82"/>
      <c r="K9" s="82"/>
    </row>
    <row r="10" spans="1:21" customFormat="1" ht="14.4">
      <c r="A10" s="106"/>
      <c r="B10" s="270" t="s">
        <v>441</v>
      </c>
      <c r="C10" s="164"/>
      <c r="D10" s="109"/>
      <c r="F10" s="274"/>
      <c r="G10" s="274"/>
      <c r="H10" s="271"/>
      <c r="I10" s="271"/>
      <c r="J10" s="271"/>
      <c r="K10" s="271"/>
      <c r="L10" s="271"/>
      <c r="M10" s="271"/>
      <c r="N10" s="271"/>
      <c r="O10" s="271"/>
      <c r="P10" s="271"/>
      <c r="Q10" s="271"/>
      <c r="R10" s="271"/>
      <c r="S10" s="271"/>
      <c r="T10" s="271"/>
      <c r="U10" s="271"/>
    </row>
    <row r="11" spans="1:21" customFormat="1" ht="12.75" customHeight="1">
      <c r="A11" s="163"/>
      <c r="B11" s="106"/>
      <c r="C11" s="107" t="str">
        <f>InpC!$F$26</f>
        <v>PR14</v>
      </c>
      <c r="D11" s="108"/>
      <c r="E11" s="109"/>
      <c r="F11" s="108"/>
      <c r="G11" s="108"/>
      <c r="H11" s="109"/>
      <c r="I11" s="109"/>
      <c r="J11" s="109"/>
      <c r="K11" s="109"/>
      <c r="L11" s="109"/>
      <c r="M11" s="109"/>
      <c r="N11" s="109"/>
      <c r="O11" s="109"/>
      <c r="P11" s="109"/>
      <c r="Q11" s="109"/>
      <c r="R11" s="109"/>
      <c r="S11" s="109"/>
      <c r="T11" s="109"/>
      <c r="U11" s="109"/>
    </row>
    <row r="12" spans="1:21" s="42" customFormat="1" ht="14.4" outlineLevel="1">
      <c r="A12" s="48"/>
      <c r="B12" s="48"/>
      <c r="C12" s="53"/>
      <c r="D12" s="152" t="str">
        <f>InpAct!D$22</f>
        <v>PR14</v>
      </c>
      <c r="E12" s="152" t="str">
        <f>InpAct!E$22</f>
        <v>Households connected for water and wastewater - unmetered</v>
      </c>
      <c r="F12" s="44">
        <f>InpAct!F$22</f>
        <v>0</v>
      </c>
      <c r="G12" s="44" t="str">
        <f>InpAct!G$22</f>
        <v>000s</v>
      </c>
      <c r="H12" s="49">
        <f>InpAct!H$22</f>
        <v>1693.788</v>
      </c>
      <c r="J12" s="89"/>
      <c r="K12" s="89"/>
    </row>
    <row r="13" spans="1:21" s="42" customFormat="1" ht="14.4" outlineLevel="1">
      <c r="A13" s="48"/>
      <c r="B13" s="48"/>
      <c r="C13" s="53"/>
      <c r="D13" s="152" t="str">
        <f>InpAct!D$23</f>
        <v>PR14</v>
      </c>
      <c r="E13" s="152" t="str">
        <f>InpAct!E$23</f>
        <v>Households connected for water and wastewater - metered</v>
      </c>
      <c r="F13" s="44">
        <f>InpAct!F$23</f>
        <v>0</v>
      </c>
      <c r="G13" s="44" t="str">
        <f>InpAct!G$23</f>
        <v>000s</v>
      </c>
      <c r="H13" s="49">
        <f>InpAct!H$23</f>
        <v>1863.7349999999999</v>
      </c>
      <c r="J13" s="89"/>
      <c r="K13" s="89"/>
    </row>
    <row r="14" spans="1:21" ht="14.4" outlineLevel="1">
      <c r="D14" s="615" t="str">
        <f>InpC!$F$26</f>
        <v>PR14</v>
      </c>
      <c r="E14" s="97" t="s">
        <v>64</v>
      </c>
      <c r="F14" s="130"/>
      <c r="G14" s="130" t="s">
        <v>61</v>
      </c>
      <c r="H14" s="98">
        <f>SUM(H12:H13)</f>
        <v>3557.5230000000001</v>
      </c>
      <c r="J14" s="82"/>
      <c r="K14" s="82"/>
    </row>
    <row r="15" spans="1:21" ht="14.4" outlineLevel="1">
      <c r="D15" s="91"/>
      <c r="E15" s="91"/>
      <c r="F15" s="128"/>
      <c r="G15" s="128"/>
      <c r="H15" s="52"/>
      <c r="J15" s="82"/>
      <c r="K15" s="82"/>
    </row>
    <row r="16" spans="1:21" s="42" customFormat="1" ht="14.4" outlineLevel="1">
      <c r="A16" s="48"/>
      <c r="B16" s="48"/>
      <c r="C16" s="53"/>
      <c r="D16" s="152" t="str">
        <f>InpAct!D$18</f>
        <v>PR14</v>
      </c>
      <c r="E16" s="152" t="str">
        <f>InpAct!E$18</f>
        <v xml:space="preserve">Water: Number of unmeasured households </v>
      </c>
      <c r="F16" s="44">
        <f>InpAct!F$18</f>
        <v>0</v>
      </c>
      <c r="G16" s="44" t="str">
        <f>InpAct!G$18</f>
        <v>000s</v>
      </c>
      <c r="H16" s="49">
        <f>InpAct!H$18</f>
        <v>32.143000000000001</v>
      </c>
      <c r="I16" s="44"/>
      <c r="J16" s="44"/>
      <c r="K16" s="89"/>
    </row>
    <row r="17" spans="1:11" s="42" customFormat="1" ht="14.4" outlineLevel="1">
      <c r="A17" s="48"/>
      <c r="B17" s="48"/>
      <c r="C17" s="53"/>
      <c r="D17" s="152" t="str">
        <f>InpAct!D$19</f>
        <v>PR14</v>
      </c>
      <c r="E17" s="152" t="str">
        <f>InpAct!E$19</f>
        <v xml:space="preserve">Water: Number of measured households </v>
      </c>
      <c r="F17" s="44">
        <f>InpAct!F$19</f>
        <v>0</v>
      </c>
      <c r="G17" s="44" t="str">
        <f>InpAct!G$19</f>
        <v>000s</v>
      </c>
      <c r="H17" s="49">
        <f>InpAct!H$19</f>
        <v>15.452</v>
      </c>
      <c r="J17" s="89"/>
      <c r="K17" s="89"/>
    </row>
    <row r="18" spans="1:11" s="120" customFormat="1" ht="14.4" outlineLevel="1">
      <c r="A18" s="11"/>
      <c r="B18" s="11"/>
      <c r="C18" s="12"/>
      <c r="D18" s="615" t="str">
        <f>InpC!$F$26</f>
        <v>PR14</v>
      </c>
      <c r="E18" s="156" t="s">
        <v>66</v>
      </c>
      <c r="F18" s="155"/>
      <c r="G18" s="155" t="s">
        <v>61</v>
      </c>
      <c r="H18" s="181">
        <f>SUM(H16:H17)</f>
        <v>47.594999999999999</v>
      </c>
      <c r="J18" s="157"/>
      <c r="K18" s="157"/>
    </row>
    <row r="19" spans="1:11" ht="14.4" outlineLevel="1">
      <c r="D19" s="91"/>
      <c r="E19" s="91"/>
      <c r="F19" s="128"/>
      <c r="G19" s="128"/>
      <c r="H19" s="52"/>
      <c r="J19" s="82"/>
      <c r="K19" s="82"/>
    </row>
    <row r="20" spans="1:11" s="42" customFormat="1" ht="14.4" outlineLevel="1">
      <c r="A20" s="48"/>
      <c r="B20" s="48"/>
      <c r="C20" s="53"/>
      <c r="D20" s="152" t="str">
        <f>InpAct!D$20</f>
        <v>PR14</v>
      </c>
      <c r="E20" s="152" t="str">
        <f>InpAct!E$20</f>
        <v xml:space="preserve">Wastewater: Number of unmeasured households </v>
      </c>
      <c r="F20" s="44">
        <f>InpAct!F$20</f>
        <v>0</v>
      </c>
      <c r="G20" s="44" t="str">
        <f>InpAct!G$20</f>
        <v>000s</v>
      </c>
      <c r="H20" s="49">
        <f>InpAct!H$20</f>
        <v>637.14400000000001</v>
      </c>
      <c r="J20" s="89"/>
      <c r="K20" s="89"/>
    </row>
    <row r="21" spans="1:11" s="42" customFormat="1" ht="14.4" outlineLevel="1">
      <c r="A21" s="48"/>
      <c r="B21" s="48"/>
      <c r="C21" s="53"/>
      <c r="D21" s="152" t="str">
        <f>InpAct!D$21</f>
        <v>PR14</v>
      </c>
      <c r="E21" s="152" t="str">
        <f>InpAct!E$21</f>
        <v xml:space="preserve">Wastewater: Number of measured households with standing charge </v>
      </c>
      <c r="F21" s="44">
        <f>InpAct!F$21</f>
        <v>0</v>
      </c>
      <c r="G21" s="44" t="str">
        <f>InpAct!G$21</f>
        <v>000s</v>
      </c>
      <c r="H21" s="49">
        <f>InpAct!H$21</f>
        <v>1342.6849999999999</v>
      </c>
      <c r="J21" s="89"/>
      <c r="K21" s="89"/>
    </row>
    <row r="22" spans="1:11" outlineLevel="1">
      <c r="D22" s="615" t="str">
        <f>InpC!$F$26</f>
        <v>PR14</v>
      </c>
      <c r="E22" s="97" t="s">
        <v>67</v>
      </c>
      <c r="F22" s="130"/>
      <c r="G22" s="130" t="s">
        <v>61</v>
      </c>
      <c r="H22" s="98">
        <f>SUM(H20:H21)</f>
        <v>1979.829</v>
      </c>
    </row>
    <row r="23" spans="1:11" outlineLevel="1">
      <c r="H23" s="59"/>
    </row>
    <row r="24" spans="1:11" ht="14.4" outlineLevel="1">
      <c r="D24" s="91" t="str">
        <f>D$14</f>
        <v>PR14</v>
      </c>
      <c r="E24" s="91" t="str">
        <f t="shared" ref="E24:H24" si="0">E$14</f>
        <v>Total households - Water &amp; Wastewater</v>
      </c>
      <c r="F24" s="231">
        <f t="shared" si="0"/>
        <v>0</v>
      </c>
      <c r="G24" s="231" t="str">
        <f t="shared" si="0"/>
        <v>000s</v>
      </c>
      <c r="H24" s="229">
        <f t="shared" si="0"/>
        <v>3557.5230000000001</v>
      </c>
      <c r="I24" s="128"/>
      <c r="J24" s="128"/>
      <c r="K24" s="82"/>
    </row>
    <row r="25" spans="1:11" ht="14.4" outlineLevel="1">
      <c r="D25" s="91" t="str">
        <f>D$18</f>
        <v>PR14</v>
      </c>
      <c r="E25" s="91" t="str">
        <f t="shared" ref="E25:H25" si="1">E$18</f>
        <v>Total households - Water only</v>
      </c>
      <c r="F25" s="149">
        <f t="shared" si="1"/>
        <v>0</v>
      </c>
      <c r="G25" s="149" t="str">
        <f t="shared" si="1"/>
        <v>000s</v>
      </c>
      <c r="H25" s="142">
        <f t="shared" si="1"/>
        <v>47.594999999999999</v>
      </c>
      <c r="I25" s="128"/>
      <c r="J25" s="128"/>
      <c r="K25" s="82"/>
    </row>
    <row r="26" spans="1:11" s="120" customFormat="1" ht="14.4" outlineLevel="1">
      <c r="A26" s="11"/>
      <c r="B26" s="11"/>
      <c r="C26" s="12"/>
      <c r="D26" s="616" t="str">
        <f>InpC!$F$26</f>
        <v>PR14</v>
      </c>
      <c r="E26" s="101" t="s">
        <v>63</v>
      </c>
      <c r="F26" s="611"/>
      <c r="G26" s="611" t="s">
        <v>61</v>
      </c>
      <c r="H26" s="298">
        <f xml:space="preserve"> SUM(H24:H25)</f>
        <v>3605.1179999999999</v>
      </c>
      <c r="I26" s="231"/>
      <c r="J26" s="231"/>
      <c r="K26" s="157"/>
    </row>
    <row r="27" spans="1:11" ht="14.4" outlineLevel="1">
      <c r="D27" s="91"/>
      <c r="E27" s="91"/>
      <c r="F27" s="128"/>
      <c r="G27" s="128"/>
      <c r="H27" s="52"/>
      <c r="I27" s="128"/>
      <c r="J27" s="128"/>
      <c r="K27" s="82"/>
    </row>
    <row r="28" spans="1:11" ht="14.4" outlineLevel="1">
      <c r="D28" s="91" t="str">
        <f>D$14</f>
        <v>PR14</v>
      </c>
      <c r="E28" s="91" t="str">
        <f t="shared" ref="E28:H28" si="2">E$14</f>
        <v>Total households - Water &amp; Wastewater</v>
      </c>
      <c r="F28" s="231">
        <f t="shared" si="2"/>
        <v>0</v>
      </c>
      <c r="G28" s="231" t="str">
        <f t="shared" si="2"/>
        <v>000s</v>
      </c>
      <c r="H28" s="229">
        <f t="shared" si="2"/>
        <v>3557.5230000000001</v>
      </c>
      <c r="I28" s="128"/>
      <c r="J28" s="128"/>
      <c r="K28" s="82"/>
    </row>
    <row r="29" spans="1:11" ht="14.4" outlineLevel="1">
      <c r="D29" s="91" t="str">
        <f>D$22</f>
        <v>PR14</v>
      </c>
      <c r="E29" s="91" t="str">
        <f t="shared" ref="E29:H29" si="3">E$22</f>
        <v>Total households - Wastewater only</v>
      </c>
      <c r="F29" s="149">
        <f t="shared" si="3"/>
        <v>0</v>
      </c>
      <c r="G29" s="149" t="str">
        <f t="shared" si="3"/>
        <v>000s</v>
      </c>
      <c r="H29" s="142">
        <f t="shared" si="3"/>
        <v>1979.829</v>
      </c>
      <c r="I29" s="128"/>
      <c r="J29" s="128"/>
      <c r="K29" s="82"/>
    </row>
    <row r="30" spans="1:11" s="120" customFormat="1" ht="14.4" outlineLevel="1">
      <c r="A30" s="11"/>
      <c r="B30" s="11"/>
      <c r="C30" s="12"/>
      <c r="D30" s="616" t="str">
        <f>InpC!$F$26</f>
        <v>PR14</v>
      </c>
      <c r="E30" s="101" t="s">
        <v>65</v>
      </c>
      <c r="F30" s="611"/>
      <c r="G30" s="611" t="s">
        <v>61</v>
      </c>
      <c r="H30" s="298">
        <f>SUM(H28:H29)</f>
        <v>5537.3519999999999</v>
      </c>
      <c r="I30" s="231"/>
      <c r="J30" s="231"/>
      <c r="K30" s="157"/>
    </row>
    <row r="31" spans="1:11" ht="14.4" outlineLevel="1">
      <c r="D31" s="91"/>
      <c r="E31" s="91"/>
      <c r="F31" s="128"/>
      <c r="G31" s="128"/>
      <c r="H31" s="10"/>
      <c r="I31" s="128"/>
      <c r="J31" s="128"/>
      <c r="K31" s="82"/>
    </row>
    <row r="32" spans="1:11" s="42" customFormat="1" ht="12.75" customHeight="1" outlineLevel="1">
      <c r="A32" s="51"/>
      <c r="B32" s="51"/>
      <c r="C32" s="147"/>
      <c r="D32" s="31" t="str">
        <f>InpC!D$55</f>
        <v>PR14</v>
      </c>
      <c r="E32" s="31" t="str">
        <f>InpC!E$55</f>
        <v>Adjustment from 2012/13 year average RPI to 2017/18 year average CPIH deflated</v>
      </c>
      <c r="F32" s="726">
        <f>InpC!F$55</f>
        <v>1.1497410673850219</v>
      </c>
      <c r="G32" s="227" t="str">
        <f>InpC!G$55</f>
        <v>factor</v>
      </c>
      <c r="H32" s="227">
        <f>InpC!H$55</f>
        <v>0</v>
      </c>
      <c r="J32" s="148"/>
      <c r="K32" s="148"/>
    </row>
    <row r="33" spans="1:21" s="42" customFormat="1" ht="14.4" outlineLevel="1">
      <c r="A33" s="104"/>
      <c r="B33" s="104"/>
      <c r="C33" s="105"/>
      <c r="D33" s="110" t="str">
        <f>InpAct!D$45</f>
        <v>PR14</v>
      </c>
      <c r="E33" s="110" t="str">
        <f>InpAct!E$45</f>
        <v>Wholesale water allowed revenue per customer excluding capital connection charges, other income and operating income</v>
      </c>
      <c r="F33" s="127">
        <f>InpAct!F$45</f>
        <v>0</v>
      </c>
      <c r="G33" s="127" t="str">
        <f>InpAct!G$45</f>
        <v>£</v>
      </c>
      <c r="H33" s="112">
        <f>InpAct!H$45</f>
        <v>168.18671460502523</v>
      </c>
      <c r="I33" s="127"/>
      <c r="J33" s="127"/>
      <c r="K33" s="690"/>
    </row>
    <row r="34" spans="1:21" outlineLevel="1">
      <c r="A34" s="22"/>
      <c r="B34" s="22"/>
      <c r="C34" s="226"/>
      <c r="D34" s="617" t="str">
        <f>InpC!$F$26</f>
        <v>PR14</v>
      </c>
      <c r="E34" s="161" t="s">
        <v>281</v>
      </c>
      <c r="F34" s="9"/>
      <c r="G34" s="9" t="s">
        <v>2</v>
      </c>
      <c r="H34" s="284">
        <f xml:space="preserve"> H33 * $F32</f>
        <v>193.37117276996176</v>
      </c>
      <c r="I34" s="127"/>
      <c r="J34" s="127"/>
    </row>
    <row r="35" spans="1:21" ht="14.4" outlineLevel="1">
      <c r="A35" s="22"/>
      <c r="B35" s="22"/>
      <c r="C35" s="226"/>
      <c r="D35" s="161"/>
      <c r="E35" s="161"/>
      <c r="F35" s="9"/>
      <c r="G35" s="9"/>
      <c r="H35" s="693"/>
      <c r="I35" s="301"/>
      <c r="J35" s="301"/>
      <c r="K35" s="196"/>
    </row>
    <row r="36" spans="1:21" s="42" customFormat="1" ht="12.75" customHeight="1" outlineLevel="1">
      <c r="A36" s="51"/>
      <c r="B36" s="51"/>
      <c r="C36" s="147"/>
      <c r="D36" s="31" t="str">
        <f>InpC!D$55</f>
        <v>PR14</v>
      </c>
      <c r="E36" s="31" t="str">
        <f>InpC!E$55</f>
        <v>Adjustment from 2012/13 year average RPI to 2017/18 year average CPIH deflated</v>
      </c>
      <c r="F36" s="726">
        <f>InpC!F$55</f>
        <v>1.1497410673850219</v>
      </c>
      <c r="G36" s="227" t="str">
        <f>InpC!G$55</f>
        <v>factor</v>
      </c>
      <c r="H36" s="227">
        <f>InpC!H$55</f>
        <v>0</v>
      </c>
      <c r="J36" s="148"/>
      <c r="K36" s="148"/>
    </row>
    <row r="37" spans="1:21" s="42" customFormat="1" ht="14.4" outlineLevel="1">
      <c r="A37" s="48"/>
      <c r="B37" s="48"/>
      <c r="C37" s="53"/>
      <c r="D37" s="90" t="str">
        <f>InpAct!D$46</f>
        <v>PR14</v>
      </c>
      <c r="E37" s="90" t="str">
        <f>InpAct!E$46</f>
        <v>Wholesale Wastewater allowed revenue per customer excluding capital connection charges, other income and operating income</v>
      </c>
      <c r="F37" s="129">
        <f>InpAct!F$46</f>
        <v>0</v>
      </c>
      <c r="G37" s="129" t="str">
        <f>InpAct!G$46</f>
        <v>£</v>
      </c>
      <c r="H37" s="63">
        <f>InpAct!H$46</f>
        <v>158.25979974834453</v>
      </c>
      <c r="I37" s="129"/>
      <c r="J37" s="129"/>
      <c r="K37" s="89"/>
    </row>
    <row r="38" spans="1:21" ht="14.4" outlineLevel="1">
      <c r="D38" s="617" t="str">
        <f>InpC!$F$26</f>
        <v>PR14</v>
      </c>
      <c r="E38" s="91" t="s">
        <v>282</v>
      </c>
      <c r="F38" s="128"/>
      <c r="G38" s="128" t="s">
        <v>2</v>
      </c>
      <c r="H38" s="284">
        <f xml:space="preserve"> H37 * $F36</f>
        <v>181.95779108680148</v>
      </c>
      <c r="I38" s="129"/>
      <c r="J38" s="129"/>
      <c r="K38" s="82"/>
    </row>
    <row r="39" spans="1:21" ht="14.4">
      <c r="J39" s="82"/>
      <c r="K39" s="82"/>
    </row>
    <row r="40" spans="1:21" customFormat="1" ht="14.4">
      <c r="A40" s="106"/>
      <c r="B40" s="270" t="s">
        <v>354</v>
      </c>
      <c r="C40" s="164"/>
      <c r="D40" s="109"/>
      <c r="F40" s="274"/>
      <c r="G40" s="274"/>
      <c r="H40" s="271"/>
      <c r="I40" s="271"/>
      <c r="J40" s="271"/>
      <c r="K40" s="271"/>
      <c r="L40" s="271"/>
      <c r="M40" s="271"/>
      <c r="N40" s="271"/>
      <c r="O40" s="271"/>
      <c r="P40" s="271"/>
      <c r="Q40" s="271"/>
      <c r="R40" s="271"/>
      <c r="S40" s="271"/>
      <c r="T40" s="271"/>
      <c r="U40" s="271"/>
    </row>
    <row r="41" spans="1:21" customFormat="1" ht="12.75" customHeight="1">
      <c r="A41" s="163"/>
      <c r="B41" s="106"/>
      <c r="C41" s="107" t="str">
        <f>InpC!$F$27</f>
        <v>PR19</v>
      </c>
      <c r="D41" s="108"/>
      <c r="E41" s="109"/>
      <c r="F41" s="108"/>
      <c r="G41" s="108"/>
      <c r="H41" s="109"/>
      <c r="I41" s="109"/>
      <c r="J41" s="109"/>
      <c r="K41" s="109"/>
      <c r="L41" s="109"/>
      <c r="M41" s="109"/>
      <c r="N41" s="109"/>
      <c r="O41" s="109"/>
      <c r="P41" s="109"/>
      <c r="Q41" s="109"/>
      <c r="R41" s="109"/>
      <c r="S41" s="109"/>
      <c r="T41" s="109"/>
      <c r="U41" s="109"/>
    </row>
    <row r="42" spans="1:21" ht="14.4" outlineLevel="1">
      <c r="D42" s="152" t="str">
        <f>InpAct!D$28</f>
        <v>PR19</v>
      </c>
      <c r="E42" s="152" t="str">
        <f>InpAct!E$28</f>
        <v>Households connected for water only - unmetered</v>
      </c>
      <c r="F42" s="44">
        <f>InpAct!F$28</f>
        <v>0</v>
      </c>
      <c r="G42" s="44" t="str">
        <f>InpAct!G$28</f>
        <v>000s</v>
      </c>
      <c r="H42" s="49">
        <f>InpAct!H$28</f>
        <v>18.925000000000001</v>
      </c>
      <c r="J42" s="82"/>
      <c r="K42" s="82"/>
    </row>
    <row r="43" spans="1:21" ht="14.4" outlineLevel="1">
      <c r="D43" s="152" t="str">
        <f>InpAct!D$25</f>
        <v>PR19</v>
      </c>
      <c r="E43" s="152" t="str">
        <f>InpAct!E$25</f>
        <v>Households connected for water only - metered</v>
      </c>
      <c r="F43" s="44">
        <f>InpAct!F$25</f>
        <v>0</v>
      </c>
      <c r="G43" s="44" t="str">
        <f>InpAct!G$25</f>
        <v>000s</v>
      </c>
      <c r="H43" s="49">
        <f>InpAct!H$25</f>
        <v>33.750999999999998</v>
      </c>
      <c r="J43" s="82"/>
      <c r="K43" s="82"/>
    </row>
    <row r="44" spans="1:21" ht="14.4" outlineLevel="1">
      <c r="D44" s="616" t="str">
        <f>InpC!$F$27</f>
        <v>PR19</v>
      </c>
      <c r="E44" s="156" t="s">
        <v>66</v>
      </c>
      <c r="F44" s="155"/>
      <c r="G44" s="155" t="s">
        <v>61</v>
      </c>
      <c r="H44" s="181">
        <f>SUM(H42:H43)</f>
        <v>52.676000000000002</v>
      </c>
      <c r="J44" s="82"/>
      <c r="K44" s="82"/>
    </row>
    <row r="45" spans="1:21" ht="14.4" outlineLevel="1">
      <c r="D45" s="152"/>
      <c r="E45" s="152"/>
      <c r="F45" s="44"/>
      <c r="G45" s="44"/>
      <c r="H45" s="49"/>
      <c r="J45" s="82"/>
      <c r="K45" s="82"/>
    </row>
    <row r="46" spans="1:21" ht="14.4" outlineLevel="1">
      <c r="D46" s="152" t="str">
        <f>InpAct!D$30</f>
        <v>PR19</v>
      </c>
      <c r="E46" s="152" t="str">
        <f>InpAct!E$30</f>
        <v>Households connected for water and sewerage - unmetered</v>
      </c>
      <c r="F46" s="44">
        <f>InpAct!F$30</f>
        <v>0</v>
      </c>
      <c r="G46" s="44" t="str">
        <f>InpAct!G$30</f>
        <v>000s</v>
      </c>
      <c r="H46" s="49">
        <f>InpAct!H$30</f>
        <v>1501.171</v>
      </c>
      <c r="J46" s="82"/>
      <c r="K46" s="82"/>
    </row>
    <row r="47" spans="1:21" ht="12.75" customHeight="1" outlineLevel="1">
      <c r="A47" s="25"/>
      <c r="B47" s="18"/>
      <c r="C47" s="19"/>
      <c r="D47" s="152" t="str">
        <f>InpAct!D$27</f>
        <v>PR19</v>
      </c>
      <c r="E47" s="152" t="str">
        <f>InpAct!E$27</f>
        <v>Households connected for water and sewerage - metered</v>
      </c>
      <c r="F47" s="44">
        <f>InpAct!F$27</f>
        <v>0</v>
      </c>
      <c r="G47" s="44" t="str">
        <f>InpAct!G$27</f>
        <v>000s</v>
      </c>
      <c r="H47" s="49">
        <f>InpAct!H$27</f>
        <v>2208.8989999999999</v>
      </c>
    </row>
    <row r="48" spans="1:21" s="120" customFormat="1" ht="12.75" customHeight="1" outlineLevel="1">
      <c r="A48" s="25"/>
      <c r="B48" s="18"/>
      <c r="C48" s="19"/>
      <c r="D48" s="616" t="str">
        <f>InpC!$F$27</f>
        <v>PR19</v>
      </c>
      <c r="E48" s="97" t="s">
        <v>64</v>
      </c>
      <c r="F48" s="155"/>
      <c r="G48" s="155" t="s">
        <v>61</v>
      </c>
      <c r="H48" s="181">
        <f>SUM(H46:H47)</f>
        <v>3710.0699999999997</v>
      </c>
    </row>
    <row r="49" spans="1:21" ht="12.75" customHeight="1" outlineLevel="1">
      <c r="A49" s="25"/>
      <c r="B49" s="18"/>
      <c r="C49" s="19"/>
      <c r="D49" s="152"/>
      <c r="E49" s="152"/>
      <c r="F49" s="44"/>
      <c r="G49" s="44"/>
      <c r="H49" s="49"/>
    </row>
    <row r="50" spans="1:21" ht="14.4" outlineLevel="1">
      <c r="D50" s="152" t="str">
        <f>InpAct!D$26</f>
        <v>PR19</v>
      </c>
      <c r="E50" s="152" t="str">
        <f>InpAct!E$26</f>
        <v>Households connected for sewerage only - unmetered</v>
      </c>
      <c r="F50" s="44">
        <f>InpAct!F$26</f>
        <v>0</v>
      </c>
      <c r="G50" s="44" t="str">
        <f>InpAct!G$26</f>
        <v>000s</v>
      </c>
      <c r="H50" s="49">
        <f>InpAct!H$26</f>
        <v>553.08500000000004</v>
      </c>
      <c r="J50" s="82"/>
      <c r="K50" s="82"/>
    </row>
    <row r="51" spans="1:21" ht="14.4" outlineLevel="1">
      <c r="D51" s="152" t="str">
        <f>InpAct!D$29</f>
        <v>PR19</v>
      </c>
      <c r="E51" s="152" t="str">
        <f>InpAct!E$29</f>
        <v>Households connected for sewerage only - metered</v>
      </c>
      <c r="F51" s="44">
        <f>InpAct!F$29</f>
        <v>0</v>
      </c>
      <c r="G51" s="44" t="str">
        <f>InpAct!G$29</f>
        <v>000s</v>
      </c>
      <c r="H51" s="49">
        <f>InpAct!H$29</f>
        <v>1526.117</v>
      </c>
      <c r="J51" s="82"/>
      <c r="K51" s="82"/>
    </row>
    <row r="52" spans="1:21" ht="14.4" outlineLevel="1">
      <c r="D52" s="616" t="str">
        <f>InpC!$F$27</f>
        <v>PR19</v>
      </c>
      <c r="E52" s="97" t="s">
        <v>67</v>
      </c>
      <c r="F52" s="155"/>
      <c r="G52" s="155" t="s">
        <v>61</v>
      </c>
      <c r="H52" s="181">
        <f>SUM(H50:H51)</f>
        <v>2079.2020000000002</v>
      </c>
      <c r="J52" s="82"/>
      <c r="K52" s="82"/>
    </row>
    <row r="53" spans="1:21" ht="14.4" outlineLevel="1">
      <c r="D53" s="152"/>
      <c r="E53" s="152"/>
      <c r="F53" s="44"/>
      <c r="G53" s="44"/>
      <c r="H53" s="49"/>
      <c r="J53" s="82"/>
      <c r="K53" s="82"/>
    </row>
    <row r="54" spans="1:21" ht="14.4" outlineLevel="1">
      <c r="D54" s="158" t="str">
        <f>D$44</f>
        <v>PR19</v>
      </c>
      <c r="E54" s="158" t="str">
        <f t="shared" ref="E54:H54" si="4">E$44</f>
        <v>Total households - Water only</v>
      </c>
      <c r="F54" s="149">
        <f t="shared" si="4"/>
        <v>0</v>
      </c>
      <c r="G54" s="149" t="str">
        <f t="shared" si="4"/>
        <v>000s</v>
      </c>
      <c r="H54" s="142">
        <f t="shared" si="4"/>
        <v>52.676000000000002</v>
      </c>
      <c r="I54" s="113"/>
      <c r="J54" s="149"/>
      <c r="K54" s="82"/>
    </row>
    <row r="55" spans="1:21" ht="14.4" outlineLevel="1">
      <c r="D55" s="158" t="str">
        <f>D$48</f>
        <v>PR19</v>
      </c>
      <c r="E55" s="158" t="str">
        <f t="shared" ref="E55:H55" si="5">E$48</f>
        <v>Total households - Water &amp; Wastewater</v>
      </c>
      <c r="F55" s="149">
        <f t="shared" si="5"/>
        <v>0</v>
      </c>
      <c r="G55" s="149" t="str">
        <f t="shared" si="5"/>
        <v>000s</v>
      </c>
      <c r="H55" s="142">
        <f t="shared" si="5"/>
        <v>3710.0699999999997</v>
      </c>
      <c r="I55" s="113"/>
      <c r="J55" s="149"/>
      <c r="K55" s="82"/>
    </row>
    <row r="56" spans="1:21" ht="14.4" outlineLevel="1">
      <c r="D56" s="616" t="str">
        <f>InpC!$F$27</f>
        <v>PR19</v>
      </c>
      <c r="E56" s="97" t="s">
        <v>63</v>
      </c>
      <c r="F56" s="155"/>
      <c r="G56" s="155" t="s">
        <v>61</v>
      </c>
      <c r="H56" s="181">
        <f>SUM(H54:H55)</f>
        <v>3762.7459999999996</v>
      </c>
      <c r="I56" s="154"/>
      <c r="J56" s="149"/>
      <c r="K56" s="82"/>
    </row>
    <row r="57" spans="1:21" ht="14.4" outlineLevel="1">
      <c r="D57" s="158"/>
      <c r="E57" s="158"/>
      <c r="F57" s="149"/>
      <c r="G57" s="149"/>
      <c r="H57" s="142"/>
      <c r="I57" s="113"/>
      <c r="J57" s="149"/>
      <c r="K57" s="82"/>
    </row>
    <row r="58" spans="1:21" ht="14.4" outlineLevel="1">
      <c r="D58" s="158" t="str">
        <f>D$52</f>
        <v>PR19</v>
      </c>
      <c r="E58" s="158" t="str">
        <f t="shared" ref="E58:H58" si="6">E$52</f>
        <v>Total households - Wastewater only</v>
      </c>
      <c r="F58" s="149">
        <f t="shared" si="6"/>
        <v>0</v>
      </c>
      <c r="G58" s="149" t="str">
        <f t="shared" si="6"/>
        <v>000s</v>
      </c>
      <c r="H58" s="142">
        <f t="shared" si="6"/>
        <v>2079.2020000000002</v>
      </c>
      <c r="I58" s="113"/>
      <c r="J58" s="149"/>
      <c r="K58" s="82"/>
    </row>
    <row r="59" spans="1:21" ht="14.4" outlineLevel="1">
      <c r="D59" s="158" t="str">
        <f>D$48</f>
        <v>PR19</v>
      </c>
      <c r="E59" s="158" t="str">
        <f t="shared" ref="E59:H59" si="7">E$48</f>
        <v>Total households - Water &amp; Wastewater</v>
      </c>
      <c r="F59" s="149">
        <f t="shared" si="7"/>
        <v>0</v>
      </c>
      <c r="G59" s="149" t="str">
        <f t="shared" si="7"/>
        <v>000s</v>
      </c>
      <c r="H59" s="142">
        <f t="shared" si="7"/>
        <v>3710.0699999999997</v>
      </c>
      <c r="I59" s="113"/>
      <c r="J59" s="149"/>
      <c r="K59" s="82"/>
    </row>
    <row r="60" spans="1:21" ht="14.4" outlineLevel="1">
      <c r="D60" s="616" t="str">
        <f>InpC!$F$27</f>
        <v>PR19</v>
      </c>
      <c r="E60" s="97" t="s">
        <v>65</v>
      </c>
      <c r="F60" s="155"/>
      <c r="G60" s="155" t="s">
        <v>61</v>
      </c>
      <c r="H60" s="181">
        <f>SUM(H58:H59)</f>
        <v>5789.2719999999999</v>
      </c>
      <c r="I60" s="154"/>
      <c r="J60" s="149"/>
      <c r="K60" s="82"/>
    </row>
    <row r="61" spans="1:21" ht="14.4" outlineLevel="1">
      <c r="D61" s="158"/>
      <c r="E61" s="158"/>
      <c r="F61" s="149"/>
      <c r="G61" s="149"/>
      <c r="H61" s="159"/>
      <c r="J61" s="149"/>
      <c r="K61" s="82"/>
    </row>
    <row r="62" spans="1:21" ht="12.75" customHeight="1" outlineLevel="1">
      <c r="A62" s="25"/>
      <c r="B62" s="25"/>
      <c r="C62" s="26"/>
      <c r="D62" s="618" t="str">
        <f>InpC!D$57</f>
        <v>PR19</v>
      </c>
      <c r="E62" s="618" t="str">
        <f>InpC!E$57</f>
        <v>CPI(H): Fin year average - inflate from base year 2017-18 average</v>
      </c>
      <c r="F62" s="727">
        <f>InpC!F$57</f>
        <v>1.1476732911210807</v>
      </c>
      <c r="G62" s="714" t="str">
        <f>InpC!G$57</f>
        <v>factor</v>
      </c>
      <c r="H62" s="714">
        <f>InpC!H$57</f>
        <v>0</v>
      </c>
      <c r="J62" s="83"/>
      <c r="K62" s="83"/>
    </row>
    <row r="63" spans="1:21" customFormat="1" ht="12.75" customHeight="1" outlineLevel="1">
      <c r="A63" s="163"/>
      <c r="B63" s="163"/>
      <c r="C63" s="107"/>
      <c r="D63" s="403" t="str">
        <f>InpAct!D$56</f>
        <v>PR19</v>
      </c>
      <c r="E63" s="403" t="str">
        <f>InpAct!E$56</f>
        <v>Revenue requirement with impact of reprofiling excl. tax charge - WR - nominal</v>
      </c>
      <c r="F63" s="404">
        <f>InpAct!F$56</f>
        <v>0</v>
      </c>
      <c r="G63" s="404" t="str">
        <f>InpAct!G$56</f>
        <v>£m</v>
      </c>
      <c r="H63" s="49">
        <f>InpAct!H$56</f>
        <v>108.82069851278283</v>
      </c>
      <c r="I63" s="220"/>
      <c r="J63" s="109"/>
      <c r="K63" s="109"/>
      <c r="L63" s="109"/>
      <c r="M63" s="109"/>
      <c r="N63" s="109"/>
      <c r="O63" s="109"/>
      <c r="P63" s="109"/>
      <c r="Q63" s="109"/>
      <c r="R63" s="109"/>
      <c r="S63" s="109"/>
      <c r="T63" s="109"/>
      <c r="U63" s="109"/>
    </row>
    <row r="64" spans="1:21" s="223" customFormat="1" ht="12.75" customHeight="1" outlineLevel="1">
      <c r="A64" s="163"/>
      <c r="B64" s="163"/>
      <c r="C64" s="107"/>
      <c r="D64" s="617" t="str">
        <f>InpC!$F$27</f>
        <v>PR19</v>
      </c>
      <c r="E64" s="397" t="s">
        <v>505</v>
      </c>
      <c r="F64" s="399"/>
      <c r="G64" s="399" t="s">
        <v>2</v>
      </c>
      <c r="H64" s="142">
        <f>H63 / $F62</f>
        <v>94.818533597208315</v>
      </c>
      <c r="I64" s="220"/>
      <c r="J64" s="109"/>
      <c r="K64" s="109"/>
      <c r="L64" s="109"/>
      <c r="M64" s="109"/>
      <c r="N64" s="109"/>
      <c r="O64" s="109"/>
      <c r="P64" s="109"/>
      <c r="Q64" s="109"/>
      <c r="R64" s="109"/>
      <c r="S64" s="109"/>
      <c r="T64" s="109"/>
      <c r="U64" s="109"/>
    </row>
    <row r="65" spans="1:21" customFormat="1" ht="12.75" customHeight="1" outlineLevel="1">
      <c r="A65" s="163"/>
      <c r="B65" s="163"/>
      <c r="C65" s="107"/>
      <c r="D65" s="403"/>
      <c r="E65" s="403"/>
      <c r="F65" s="404"/>
      <c r="G65" s="404"/>
      <c r="H65" s="49"/>
      <c r="I65" s="220"/>
      <c r="J65" s="109"/>
      <c r="K65" s="109"/>
      <c r="L65" s="109"/>
      <c r="M65" s="109"/>
      <c r="N65" s="109"/>
      <c r="O65" s="109"/>
      <c r="P65" s="109"/>
      <c r="Q65" s="109"/>
      <c r="R65" s="109"/>
      <c r="S65" s="109"/>
      <c r="T65" s="109"/>
      <c r="U65" s="109"/>
    </row>
    <row r="66" spans="1:21" ht="12.75" customHeight="1" outlineLevel="1">
      <c r="A66" s="25"/>
      <c r="B66" s="25"/>
      <c r="C66" s="26"/>
      <c r="D66" s="618" t="str">
        <f>InpC!D$57</f>
        <v>PR19</v>
      </c>
      <c r="E66" s="618" t="str">
        <f>InpC!E$57</f>
        <v>CPI(H): Fin year average - inflate from base year 2017-18 average</v>
      </c>
      <c r="F66" s="727">
        <f>InpC!F$57</f>
        <v>1.1476732911210807</v>
      </c>
      <c r="G66" s="714" t="str">
        <f>InpC!G$57</f>
        <v>factor</v>
      </c>
      <c r="H66" s="714">
        <f>InpC!H$57</f>
        <v>0</v>
      </c>
      <c r="I66" s="228"/>
      <c r="K66" s="83"/>
    </row>
    <row r="67" spans="1:21" customFormat="1" ht="12.75" customHeight="1" outlineLevel="1">
      <c r="A67" s="163"/>
      <c r="B67" s="163"/>
      <c r="C67" s="107"/>
      <c r="D67" s="403" t="str">
        <f>InpAct!D$57</f>
        <v>PR19</v>
      </c>
      <c r="E67" s="403" t="str">
        <f>InpAct!E$57</f>
        <v>Revenue requirement with impact of reprofiling excl. tax charge - WN - nominal</v>
      </c>
      <c r="F67" s="404">
        <f>InpAct!F$57</f>
        <v>0</v>
      </c>
      <c r="G67" s="404" t="str">
        <f>InpAct!G$57</f>
        <v>£m</v>
      </c>
      <c r="H67" s="49">
        <f>InpAct!H$57</f>
        <v>1017.1204284713078</v>
      </c>
      <c r="I67" s="13"/>
      <c r="J67" s="45"/>
      <c r="K67" s="109"/>
      <c r="L67" s="109"/>
      <c r="M67" s="109"/>
      <c r="N67" s="109"/>
      <c r="O67" s="109"/>
      <c r="P67" s="109"/>
      <c r="Q67" s="109"/>
      <c r="R67" s="109"/>
      <c r="S67" s="109"/>
      <c r="T67" s="109"/>
      <c r="U67" s="109"/>
    </row>
    <row r="68" spans="1:21" s="223" customFormat="1" ht="12.75" customHeight="1" outlineLevel="1">
      <c r="A68" s="163"/>
      <c r="B68" s="163"/>
      <c r="C68" s="107"/>
      <c r="D68" s="617" t="str">
        <f>InpC!$F$27</f>
        <v>PR19</v>
      </c>
      <c r="E68" s="397" t="s">
        <v>506</v>
      </c>
      <c r="F68" s="399"/>
      <c r="G68" s="399" t="s">
        <v>2</v>
      </c>
      <c r="H68" s="142">
        <f>H67 / $F66</f>
        <v>886.24562089247104</v>
      </c>
      <c r="I68" s="143"/>
      <c r="J68" s="109"/>
      <c r="K68" s="109"/>
      <c r="L68" s="109"/>
      <c r="M68" s="109"/>
      <c r="N68" s="109"/>
      <c r="O68" s="109"/>
      <c r="P68" s="109"/>
      <c r="Q68" s="109"/>
      <c r="R68" s="109"/>
      <c r="S68" s="109"/>
      <c r="T68" s="109"/>
      <c r="U68" s="109"/>
    </row>
    <row r="69" spans="1:21" customFormat="1" ht="12.75" customHeight="1" outlineLevel="1">
      <c r="A69" s="163"/>
      <c r="B69" s="163"/>
      <c r="C69" s="107"/>
      <c r="D69" s="403"/>
      <c r="E69" s="403"/>
      <c r="F69" s="404"/>
      <c r="G69" s="404"/>
      <c r="H69" s="49"/>
      <c r="I69" s="142"/>
      <c r="J69" s="45"/>
      <c r="K69" s="109"/>
      <c r="L69" s="109"/>
      <c r="M69" s="109"/>
      <c r="N69" s="109"/>
      <c r="O69" s="109"/>
      <c r="P69" s="109"/>
      <c r="Q69" s="109"/>
      <c r="R69" s="109"/>
      <c r="S69" s="109"/>
      <c r="T69" s="109"/>
      <c r="U69" s="109"/>
    </row>
    <row r="70" spans="1:21" ht="12.75" customHeight="1" outlineLevel="1">
      <c r="A70" s="25"/>
      <c r="B70" s="25"/>
      <c r="C70" s="26"/>
      <c r="D70" s="618" t="str">
        <f>InpC!D$57</f>
        <v>PR19</v>
      </c>
      <c r="E70" s="618" t="str">
        <f>InpC!E$57</f>
        <v>CPI(H): Fin year average - inflate from base year 2017-18 average</v>
      </c>
      <c r="F70" s="727">
        <f>InpC!F$57</f>
        <v>1.1476732911210807</v>
      </c>
      <c r="G70" s="714" t="str">
        <f>InpC!G$57</f>
        <v>factor</v>
      </c>
      <c r="H70" s="714">
        <f>InpC!H$57</f>
        <v>0</v>
      </c>
      <c r="I70" s="228"/>
      <c r="K70" s="83"/>
    </row>
    <row r="71" spans="1:21" customFormat="1" ht="12.75" customHeight="1" outlineLevel="1">
      <c r="A71" s="163"/>
      <c r="B71" s="163"/>
      <c r="C71" s="107"/>
      <c r="D71" s="403" t="str">
        <f>InpAct!D$58</f>
        <v>PR19</v>
      </c>
      <c r="E71" s="403" t="str">
        <f>InpAct!E$58</f>
        <v>Revenue requirement with impact of reprofiling excl. tax charge - WWN - nominal</v>
      </c>
      <c r="F71" s="404">
        <f>InpAct!F$58</f>
        <v>0</v>
      </c>
      <c r="G71" s="404" t="str">
        <f>InpAct!G$58</f>
        <v>£m</v>
      </c>
      <c r="H71" s="49">
        <f>InpAct!H$58</f>
        <v>916.69839884518296</v>
      </c>
      <c r="I71" s="13"/>
      <c r="J71" s="109"/>
      <c r="K71" s="109"/>
      <c r="L71" s="109"/>
      <c r="M71" s="109"/>
      <c r="N71" s="109"/>
      <c r="O71" s="109"/>
      <c r="P71" s="109"/>
      <c r="Q71" s="109"/>
      <c r="R71" s="109"/>
      <c r="S71" s="109"/>
      <c r="T71" s="109"/>
      <c r="U71" s="109"/>
    </row>
    <row r="72" spans="1:21" s="223" customFormat="1" ht="12.75" customHeight="1" outlineLevel="1">
      <c r="A72" s="163"/>
      <c r="B72" s="163"/>
      <c r="C72" s="107"/>
      <c r="D72" s="617" t="str">
        <f>InpC!$F$27</f>
        <v>PR19</v>
      </c>
      <c r="E72" s="397" t="s">
        <v>507</v>
      </c>
      <c r="F72" s="399"/>
      <c r="G72" s="399" t="s">
        <v>2</v>
      </c>
      <c r="H72" s="142">
        <f>H71 / $F70</f>
        <v>798.74508358535138</v>
      </c>
      <c r="I72" s="143"/>
      <c r="J72" s="109"/>
      <c r="K72" s="109"/>
      <c r="L72" s="109"/>
      <c r="M72" s="109"/>
      <c r="N72" s="109"/>
      <c r="O72" s="109"/>
      <c r="P72" s="109"/>
      <c r="Q72" s="109"/>
      <c r="R72" s="109"/>
      <c r="S72" s="109"/>
      <c r="T72" s="109"/>
      <c r="U72" s="109"/>
    </row>
    <row r="73" spans="1:21" outlineLevel="1">
      <c r="B73" s="22"/>
      <c r="C73" s="226"/>
      <c r="D73" s="224"/>
      <c r="E73" s="224"/>
      <c r="F73" s="228"/>
      <c r="G73" s="228"/>
    </row>
    <row r="74" spans="1:21" ht="12.75" customHeight="1" outlineLevel="1">
      <c r="A74" s="25"/>
      <c r="B74" s="25"/>
      <c r="C74" s="26"/>
      <c r="D74" s="618" t="str">
        <f>InpC!D$57</f>
        <v>PR19</v>
      </c>
      <c r="E74" s="618" t="str">
        <f>InpC!E$57</f>
        <v>CPI(H): Fin year average - inflate from base year 2017-18 average</v>
      </c>
      <c r="F74" s="727">
        <f>InpC!F$57</f>
        <v>1.1476732911210807</v>
      </c>
      <c r="G74" s="714" t="str">
        <f>InpC!G$57</f>
        <v>factor</v>
      </c>
      <c r="H74" s="714">
        <f>InpC!H$57</f>
        <v>0</v>
      </c>
      <c r="J74" s="83"/>
      <c r="K74" s="83"/>
    </row>
    <row r="75" spans="1:21" customFormat="1" ht="12.75" customHeight="1" outlineLevel="1">
      <c r="A75" s="163"/>
      <c r="B75" s="163"/>
      <c r="C75" s="107"/>
      <c r="D75" s="403" t="str">
        <f>InpAct!D$59</f>
        <v>PR19</v>
      </c>
      <c r="E75" s="403" t="str">
        <f>InpAct!E$59</f>
        <v>Revenue requirement with impact of reprofiling excl. tax charge - BR - nominal</v>
      </c>
      <c r="F75" s="404">
        <f>InpAct!F$59</f>
        <v>0</v>
      </c>
      <c r="G75" s="404" t="str">
        <f>InpAct!G$59</f>
        <v>£m</v>
      </c>
      <c r="H75" s="49">
        <f>InpAct!H$59</f>
        <v>212.58383258492825</v>
      </c>
      <c r="I75" s="109"/>
      <c r="J75" s="109"/>
      <c r="K75" s="109"/>
      <c r="L75" s="109"/>
      <c r="M75" s="109"/>
      <c r="N75" s="109"/>
      <c r="O75" s="109"/>
      <c r="P75" s="109"/>
      <c r="Q75" s="109"/>
      <c r="R75" s="109"/>
      <c r="S75" s="109"/>
      <c r="T75" s="109"/>
      <c r="U75" s="109"/>
    </row>
    <row r="76" spans="1:21" s="223" customFormat="1" ht="12.75" customHeight="1" outlineLevel="1">
      <c r="A76" s="163"/>
      <c r="B76" s="163"/>
      <c r="C76" s="107"/>
      <c r="D76" s="617" t="str">
        <f>InpC!$F$27</f>
        <v>PR19</v>
      </c>
      <c r="E76" s="397" t="s">
        <v>508</v>
      </c>
      <c r="F76" s="399"/>
      <c r="G76" s="399" t="s">
        <v>2</v>
      </c>
      <c r="H76" s="142">
        <f>H75 / $F74</f>
        <v>185.23026912761048</v>
      </c>
      <c r="I76" s="220"/>
      <c r="J76" s="109"/>
      <c r="K76" s="109"/>
      <c r="L76" s="109"/>
      <c r="M76" s="109"/>
      <c r="N76" s="109"/>
      <c r="O76" s="109"/>
      <c r="P76" s="109"/>
      <c r="Q76" s="109"/>
      <c r="R76" s="109"/>
      <c r="S76" s="109"/>
      <c r="T76" s="109"/>
      <c r="U76" s="109"/>
    </row>
    <row r="77" spans="1:21" outlineLevel="1">
      <c r="B77" s="22"/>
      <c r="C77" s="226"/>
      <c r="D77" s="224"/>
      <c r="E77" s="224"/>
      <c r="F77" s="228"/>
      <c r="G77" s="228"/>
    </row>
    <row r="78" spans="1:21" outlineLevel="1">
      <c r="B78" s="22"/>
      <c r="C78" s="226"/>
      <c r="D78" s="224" t="str">
        <f>D$64</f>
        <v>PR19</v>
      </c>
      <c r="E78" s="224" t="str">
        <f t="shared" ref="E78:H78" si="8">E$64</f>
        <v>Revenue requirement with impact of reprofiling excl. tax charge - WR - 2017/18 year average CPIH deflated</v>
      </c>
      <c r="F78" s="228">
        <f t="shared" si="8"/>
        <v>0</v>
      </c>
      <c r="G78" s="228" t="str">
        <f t="shared" si="8"/>
        <v>£m</v>
      </c>
      <c r="H78" s="59">
        <f t="shared" si="8"/>
        <v>94.818533597208315</v>
      </c>
    </row>
    <row r="79" spans="1:21" outlineLevel="1">
      <c r="B79" s="22"/>
      <c r="C79" s="226"/>
      <c r="D79" s="224" t="str">
        <f>D$68</f>
        <v>PR19</v>
      </c>
      <c r="E79" s="224" t="str">
        <f t="shared" ref="E79:H79" si="9">E$68</f>
        <v>Revenue requirement with impact of reprofiling excl. tax charge - WN - 2017/18 year average CPIH deflated</v>
      </c>
      <c r="F79" s="228">
        <f t="shared" si="9"/>
        <v>0</v>
      </c>
      <c r="G79" s="228" t="str">
        <f t="shared" si="9"/>
        <v>£m</v>
      </c>
      <c r="H79" s="59">
        <f t="shared" si="9"/>
        <v>886.24562089247104</v>
      </c>
    </row>
    <row r="80" spans="1:21" outlineLevel="1">
      <c r="B80" s="22"/>
      <c r="C80" s="226"/>
      <c r="D80" s="616" t="str">
        <f>InpC!$F$27</f>
        <v>PR19</v>
      </c>
      <c r="E80" s="715" t="s">
        <v>509</v>
      </c>
      <c r="F80" s="716"/>
      <c r="G80" s="716" t="s">
        <v>2</v>
      </c>
      <c r="H80" s="98">
        <f>SUM(H78:H79)</f>
        <v>981.06415448967937</v>
      </c>
    </row>
    <row r="81" spans="1:21" outlineLevel="1">
      <c r="B81" s="22"/>
      <c r="C81" s="226"/>
      <c r="D81" s="224"/>
      <c r="E81" s="224"/>
      <c r="F81" s="228"/>
      <c r="G81" s="228"/>
    </row>
    <row r="82" spans="1:21" outlineLevel="1">
      <c r="D82" s="137" t="str">
        <f>D$72</f>
        <v>PR19</v>
      </c>
      <c r="E82" s="137" t="str">
        <f t="shared" ref="E82:H82" si="10">E$72</f>
        <v>Revenue requirement with impact of reprofiling excl. tax charge - WWN - 2017/18 year average CPIH deflated</v>
      </c>
      <c r="F82" s="13">
        <f t="shared" si="10"/>
        <v>0</v>
      </c>
      <c r="G82" s="13" t="str">
        <f t="shared" si="10"/>
        <v>£m</v>
      </c>
      <c r="H82" s="59">
        <f t="shared" si="10"/>
        <v>798.74508358535138</v>
      </c>
    </row>
    <row r="83" spans="1:21" outlineLevel="1">
      <c r="D83" s="137" t="str">
        <f>D$76</f>
        <v>PR19</v>
      </c>
      <c r="E83" s="137" t="str">
        <f t="shared" ref="E83:H83" si="11">E$76</f>
        <v>Revenue requirement with impact of reprofiling excl. tax charge - BR - 2017/18 year average CPIH deflated</v>
      </c>
      <c r="F83" s="13">
        <f t="shared" si="11"/>
        <v>0</v>
      </c>
      <c r="G83" s="13" t="str">
        <f t="shared" si="11"/>
        <v>£m</v>
      </c>
      <c r="H83" s="59">
        <f t="shared" si="11"/>
        <v>185.23026912761048</v>
      </c>
    </row>
    <row r="84" spans="1:21" outlineLevel="1">
      <c r="D84" s="616" t="str">
        <f>InpC!$F$27</f>
        <v>PR19</v>
      </c>
      <c r="E84" s="97" t="s">
        <v>510</v>
      </c>
      <c r="F84" s="130"/>
      <c r="G84" s="130" t="s">
        <v>2</v>
      </c>
      <c r="H84" s="98">
        <f>SUM(H82:H83)</f>
        <v>983.97535271296192</v>
      </c>
    </row>
    <row r="86" spans="1:21" customFormat="1" ht="14.4">
      <c r="A86" s="106"/>
      <c r="B86" s="270" t="s">
        <v>253</v>
      </c>
      <c r="C86" s="164"/>
      <c r="D86" s="109"/>
      <c r="F86" s="274"/>
      <c r="G86" s="274"/>
      <c r="H86" s="271"/>
      <c r="I86" s="271"/>
      <c r="J86" s="271"/>
      <c r="K86" s="271"/>
      <c r="L86" s="271"/>
      <c r="M86" s="271"/>
      <c r="N86" s="271"/>
      <c r="O86" s="271"/>
      <c r="P86" s="271"/>
      <c r="Q86" s="271"/>
      <c r="R86" s="271"/>
      <c r="S86" s="271"/>
      <c r="T86" s="271"/>
      <c r="U86" s="271"/>
    </row>
    <row r="87" spans="1:21">
      <c r="B87" s="11" t="s">
        <v>28</v>
      </c>
    </row>
    <row r="88" spans="1:21" ht="14.4" outlineLevel="1">
      <c r="B88" s="270" t="s">
        <v>271</v>
      </c>
      <c r="D88" s="91"/>
      <c r="E88" s="91"/>
      <c r="F88" s="128"/>
      <c r="G88" s="128"/>
      <c r="H88" s="52"/>
      <c r="I88" s="99"/>
      <c r="J88" s="52"/>
      <c r="K88" s="82"/>
    </row>
    <row r="89" spans="1:21" outlineLevel="1">
      <c r="A89" s="22"/>
      <c r="B89" s="22"/>
      <c r="C89" s="226"/>
      <c r="D89" s="144" t="str">
        <f>D$80</f>
        <v>PR19</v>
      </c>
      <c r="E89" s="144" t="str">
        <f t="shared" ref="E89:H89" si="12">E$80</f>
        <v>Total revenue requirement - water - 2017/18 year average CPIH deflated</v>
      </c>
      <c r="F89" s="13">
        <f t="shared" si="12"/>
        <v>0</v>
      </c>
      <c r="G89" s="13" t="str">
        <f t="shared" si="12"/>
        <v>£m</v>
      </c>
      <c r="H89" s="59">
        <f t="shared" si="12"/>
        <v>981.06415448967937</v>
      </c>
      <c r="J89" s="613"/>
    </row>
    <row r="90" spans="1:21" outlineLevel="1">
      <c r="A90" s="22"/>
      <c r="B90" s="22"/>
      <c r="C90" s="226"/>
      <c r="D90" s="224" t="str">
        <f>D$64</f>
        <v>PR19</v>
      </c>
      <c r="E90" s="224" t="str">
        <f t="shared" ref="E90:H90" si="13">E$64</f>
        <v>Revenue requirement with impact of reprofiling excl. tax charge - WR - 2017/18 year average CPIH deflated</v>
      </c>
      <c r="F90" s="13">
        <f t="shared" si="13"/>
        <v>0</v>
      </c>
      <c r="G90" s="13" t="str">
        <f t="shared" si="13"/>
        <v>£m</v>
      </c>
      <c r="H90" s="59">
        <f t="shared" si="13"/>
        <v>94.818533597208315</v>
      </c>
      <c r="J90" s="613"/>
    </row>
    <row r="91" spans="1:21" s="401" customFormat="1" ht="12.75" customHeight="1" outlineLevel="1">
      <c r="A91" s="222"/>
      <c r="B91" s="222"/>
      <c r="C91" s="398"/>
      <c r="D91" s="403" t="str">
        <f>InpAct!D$77</f>
        <v>PR19</v>
      </c>
      <c r="E91" s="403" t="str">
        <f>InpAct!E$77</f>
        <v>Water resources- residential apportionment CALC</v>
      </c>
      <c r="F91" s="404">
        <f>InpAct!F$77</f>
        <v>0</v>
      </c>
      <c r="G91" s="404" t="str">
        <f>InpAct!G$77</f>
        <v>%</v>
      </c>
      <c r="H91" s="67">
        <f>InpAct!H$77</f>
        <v>0.76659171210588117</v>
      </c>
      <c r="I91" s="67"/>
      <c r="J91" s="67"/>
      <c r="K91" s="400"/>
      <c r="L91" s="400"/>
      <c r="M91" s="400"/>
      <c r="N91" s="400"/>
      <c r="O91" s="400"/>
      <c r="P91" s="400"/>
      <c r="Q91" s="400"/>
      <c r="R91" s="400"/>
      <c r="S91" s="400"/>
      <c r="T91" s="400"/>
      <c r="U91" s="400"/>
    </row>
    <row r="92" spans="1:21" ht="14.4" outlineLevel="1">
      <c r="A92" s="22"/>
      <c r="B92" s="22"/>
      <c r="C92" s="226"/>
      <c r="D92" s="402" t="str">
        <f>D$68</f>
        <v>PR19</v>
      </c>
      <c r="E92" s="402" t="str">
        <f t="shared" ref="E92:H92" si="14">E$68</f>
        <v>Revenue requirement with impact of reprofiling excl. tax charge - WN - 2017/18 year average CPIH deflated</v>
      </c>
      <c r="F92" s="13">
        <f t="shared" si="14"/>
        <v>0</v>
      </c>
      <c r="G92" s="13" t="str">
        <f t="shared" si="14"/>
        <v>£m</v>
      </c>
      <c r="H92" s="59">
        <f t="shared" si="14"/>
        <v>886.24562089247104</v>
      </c>
      <c r="I92" s="116"/>
      <c r="J92" s="613"/>
      <c r="K92" s="196"/>
    </row>
    <row r="93" spans="1:21" s="401" customFormat="1" ht="12.75" customHeight="1" outlineLevel="1">
      <c r="A93" s="222"/>
      <c r="B93" s="222"/>
      <c r="C93" s="398"/>
      <c r="D93" s="403" t="str">
        <f>InpAct!D$78</f>
        <v>PR19</v>
      </c>
      <c r="E93" s="403" t="str">
        <f>InpAct!E$78</f>
        <v>Water network - residential apportionment CALC</v>
      </c>
      <c r="F93" s="404">
        <f>InpAct!F$78</f>
        <v>0</v>
      </c>
      <c r="G93" s="404" t="str">
        <f>InpAct!G$78</f>
        <v>%</v>
      </c>
      <c r="H93" s="67">
        <f>InpAct!H$78</f>
        <v>0.75766011799333921</v>
      </c>
      <c r="I93" s="302"/>
      <c r="J93" s="67"/>
      <c r="K93" s="400"/>
      <c r="L93" s="400"/>
      <c r="M93" s="400"/>
      <c r="N93" s="400"/>
      <c r="O93" s="400"/>
      <c r="P93" s="400"/>
      <c r="Q93" s="400"/>
      <c r="R93" s="400"/>
      <c r="S93" s="400"/>
      <c r="T93" s="400"/>
      <c r="U93" s="400"/>
    </row>
    <row r="94" spans="1:21" outlineLevel="1">
      <c r="A94" s="22"/>
      <c r="B94" s="22"/>
      <c r="C94" s="226"/>
      <c r="D94" s="617" t="str">
        <f>InpC!$F$27</f>
        <v>PR19</v>
      </c>
      <c r="E94" s="144" t="s">
        <v>144</v>
      </c>
      <c r="F94" s="145"/>
      <c r="G94" s="145" t="s">
        <v>3</v>
      </c>
      <c r="H94" s="116">
        <f xml:space="preserve"> IFERROR( (H90 / H89 * H91) + (H92 / H89 * H93), 0)</f>
        <v>0.75852334457496584</v>
      </c>
      <c r="I94" s="116"/>
      <c r="J94" s="614"/>
    </row>
    <row r="95" spans="1:21" outlineLevel="1">
      <c r="D95" s="158"/>
      <c r="E95" s="158"/>
      <c r="F95" s="149"/>
      <c r="G95" s="149"/>
      <c r="H95" s="119"/>
      <c r="J95" s="225"/>
    </row>
    <row r="96" spans="1:21" ht="14.4" outlineLevel="1">
      <c r="B96" s="270" t="s">
        <v>272</v>
      </c>
      <c r="D96" s="91"/>
      <c r="E96" s="91"/>
      <c r="F96" s="128"/>
      <c r="G96" s="128"/>
      <c r="H96" s="52"/>
      <c r="I96" s="99"/>
      <c r="J96" s="52"/>
      <c r="K96" s="82"/>
    </row>
    <row r="97" spans="1:11" s="120" customFormat="1" ht="14.4" outlineLevel="1">
      <c r="A97" s="22"/>
      <c r="B97" s="22"/>
      <c r="C97" s="226"/>
      <c r="D97" s="144" t="str">
        <f>D$26</f>
        <v>PR14</v>
      </c>
      <c r="E97" s="144" t="str">
        <f t="shared" ref="E97:H97" si="15">E$26</f>
        <v>Total households - Water</v>
      </c>
      <c r="F97" s="145">
        <f t="shared" si="15"/>
        <v>0</v>
      </c>
      <c r="G97" s="145" t="str">
        <f t="shared" si="15"/>
        <v>000s</v>
      </c>
      <c r="H97" s="85">
        <f t="shared" si="15"/>
        <v>3605.1179999999999</v>
      </c>
      <c r="I97" s="276"/>
      <c r="J97" s="276"/>
      <c r="K97" s="277"/>
    </row>
    <row r="98" spans="1:11" s="120" customFormat="1" ht="14.4" outlineLevel="1">
      <c r="A98" s="22"/>
      <c r="B98" s="22"/>
      <c r="C98" s="226"/>
      <c r="D98" s="144" t="str">
        <f>D$56</f>
        <v>PR19</v>
      </c>
      <c r="E98" s="144" t="str">
        <f t="shared" ref="E98:H98" si="16">E$56</f>
        <v>Total households - Water</v>
      </c>
      <c r="F98" s="145">
        <f t="shared" si="16"/>
        <v>0</v>
      </c>
      <c r="G98" s="145" t="str">
        <f t="shared" si="16"/>
        <v>000s</v>
      </c>
      <c r="H98" s="85">
        <f t="shared" si="16"/>
        <v>3762.7459999999996</v>
      </c>
      <c r="I98" s="276"/>
      <c r="J98" s="276"/>
      <c r="K98" s="277"/>
    </row>
    <row r="99" spans="1:11" ht="14.4" outlineLevel="1">
      <c r="A99" s="22"/>
      <c r="B99" s="22"/>
      <c r="C99" s="226"/>
      <c r="D99" s="144"/>
      <c r="E99" s="144" t="s">
        <v>276</v>
      </c>
      <c r="F99" s="145"/>
      <c r="G99" s="145" t="s">
        <v>61</v>
      </c>
      <c r="H99" s="116">
        <f xml:space="preserve"> IFERROR( H98 / H97, 0)</f>
        <v>1.043723395461674</v>
      </c>
      <c r="I99" s="225"/>
      <c r="J99" s="225"/>
      <c r="K99" s="196"/>
    </row>
    <row r="100" spans="1:11" ht="14.4" outlineLevel="1">
      <c r="A100" s="22"/>
      <c r="B100" s="22"/>
      <c r="C100" s="226"/>
      <c r="D100" s="144"/>
      <c r="E100" s="144"/>
      <c r="F100" s="145"/>
      <c r="G100" s="145"/>
      <c r="H100" s="116"/>
      <c r="I100" s="225"/>
      <c r="J100" s="225"/>
      <c r="K100" s="196"/>
    </row>
    <row r="101" spans="1:11" ht="14.4" outlineLevel="1">
      <c r="A101" s="22"/>
      <c r="B101" s="22"/>
      <c r="C101" s="226"/>
      <c r="D101" s="110" t="str">
        <f>InpAct!D$53</f>
        <v>PR14</v>
      </c>
      <c r="E101" s="110" t="str">
        <f>InpAct!E$53</f>
        <v>Wholesale Water - household apportionment calculated</v>
      </c>
      <c r="F101" s="127">
        <f>InpAct!F$53</f>
        <v>0</v>
      </c>
      <c r="G101" s="127" t="str">
        <f>InpAct!G$53</f>
        <v>%</v>
      </c>
      <c r="H101" s="102">
        <f>InpAct!H$53</f>
        <v>0.78588684040803036</v>
      </c>
      <c r="I101" s="225"/>
      <c r="J101" s="225"/>
      <c r="K101" s="196"/>
    </row>
    <row r="102" spans="1:11" ht="14.4" outlineLevel="1">
      <c r="A102" s="22"/>
      <c r="B102" s="22"/>
      <c r="C102" s="226"/>
      <c r="D102" s="144" t="str">
        <f>D$94</f>
        <v>PR19</v>
      </c>
      <c r="E102" s="144" t="str">
        <f t="shared" ref="E102:H102" si="17">E$94</f>
        <v>Weighted average residential apportionment - Water</v>
      </c>
      <c r="F102" s="145">
        <f t="shared" si="17"/>
        <v>0</v>
      </c>
      <c r="G102" s="145" t="str">
        <f t="shared" si="17"/>
        <v>%</v>
      </c>
      <c r="H102" s="116">
        <f t="shared" si="17"/>
        <v>0.75852334457496584</v>
      </c>
      <c r="I102" s="225"/>
      <c r="J102" s="225"/>
      <c r="K102" s="196"/>
    </row>
    <row r="103" spans="1:11" ht="14.4" outlineLevel="1">
      <c r="A103" s="22"/>
      <c r="B103" s="22"/>
      <c r="C103" s="226"/>
      <c r="D103" s="144"/>
      <c r="E103" s="144" t="s">
        <v>277</v>
      </c>
      <c r="F103" s="145"/>
      <c r="G103" s="145" t="s">
        <v>61</v>
      </c>
      <c r="H103" s="116">
        <f xml:space="preserve"> IFERROR( H102 / H101, 0)</f>
        <v>0.96518137926974645</v>
      </c>
      <c r="I103" s="225"/>
      <c r="J103" s="225"/>
      <c r="K103" s="196"/>
    </row>
    <row r="104" spans="1:11" ht="14.4" outlineLevel="1">
      <c r="A104" s="22"/>
      <c r="B104" s="22"/>
      <c r="C104" s="226"/>
      <c r="D104" s="144"/>
      <c r="E104" s="144"/>
      <c r="F104" s="145"/>
      <c r="G104" s="145"/>
      <c r="H104" s="116"/>
      <c r="I104" s="225"/>
      <c r="J104" s="225"/>
      <c r="K104" s="196"/>
    </row>
    <row r="105" spans="1:11" ht="14.4" outlineLevel="1">
      <c r="A105" s="22"/>
      <c r="B105" s="22"/>
      <c r="C105" s="226"/>
      <c r="D105" s="144"/>
      <c r="E105" s="397" t="str">
        <f>E$99</f>
        <v>PR19 households as a % of PR14 households - Water</v>
      </c>
      <c r="F105" s="145">
        <f t="shared" ref="F105:H105" si="18">F$99</f>
        <v>0</v>
      </c>
      <c r="G105" s="145" t="str">
        <f t="shared" si="18"/>
        <v>000s</v>
      </c>
      <c r="H105" s="85">
        <f t="shared" si="18"/>
        <v>1.043723395461674</v>
      </c>
      <c r="I105" s="225"/>
      <c r="J105" s="225"/>
      <c r="K105" s="196"/>
    </row>
    <row r="106" spans="1:11" ht="14.4" outlineLevel="1">
      <c r="A106" s="22"/>
      <c r="B106" s="22"/>
      <c r="C106" s="226"/>
      <c r="D106" s="144"/>
      <c r="E106" s="397" t="str">
        <f>E$103</f>
        <v>PR19 apportionment as a % of PR14 apportionment - Water</v>
      </c>
      <c r="F106" s="145">
        <f t="shared" ref="F106:H106" si="19">F$103</f>
        <v>0</v>
      </c>
      <c r="G106" s="145" t="str">
        <f t="shared" si="19"/>
        <v>000s</v>
      </c>
      <c r="H106" s="85">
        <f t="shared" si="19"/>
        <v>0.96518137926974645</v>
      </c>
      <c r="I106" s="225"/>
      <c r="J106" s="225"/>
      <c r="K106" s="196"/>
    </row>
    <row r="107" spans="1:11" outlineLevel="1">
      <c r="E107" s="137" t="s">
        <v>278</v>
      </c>
      <c r="G107" s="13" t="s">
        <v>3</v>
      </c>
      <c r="H107" s="88">
        <f xml:space="preserve"> IFERROR( H106 / H105, 0)</f>
        <v>0.92474824600708905</v>
      </c>
    </row>
    <row r="108" spans="1:11" outlineLevel="1">
      <c r="H108" s="88"/>
    </row>
    <row r="109" spans="1:11" outlineLevel="1">
      <c r="D109" s="137" t="str">
        <f>D$34</f>
        <v>PR14</v>
      </c>
      <c r="E109" s="137" t="str">
        <f t="shared" ref="E109:H109" si="20">E$34</f>
        <v>Wholesale water allowed revenue per customer - 2017/18 year average CPIH deflated - water</v>
      </c>
      <c r="F109" s="13">
        <f t="shared" si="20"/>
        <v>0</v>
      </c>
      <c r="G109" s="13" t="str">
        <f t="shared" si="20"/>
        <v>£m</v>
      </c>
      <c r="H109" s="59">
        <f t="shared" si="20"/>
        <v>193.37117276996176</v>
      </c>
    </row>
    <row r="110" spans="1:11" outlineLevel="1">
      <c r="E110" s="137" t="str">
        <f>E$107</f>
        <v>PR19 customer numbers and apportionment as a % of PR14 customer numbers and apportionment</v>
      </c>
      <c r="F110" s="145">
        <f t="shared" ref="F110:H110" si="21">F$107</f>
        <v>0</v>
      </c>
      <c r="G110" s="145" t="str">
        <f t="shared" si="21"/>
        <v>%</v>
      </c>
      <c r="H110" s="116">
        <f t="shared" si="21"/>
        <v>0.92474824600708905</v>
      </c>
      <c r="I110" s="137"/>
    </row>
    <row r="111" spans="1:11" outlineLevel="1">
      <c r="E111" s="137" t="s">
        <v>273</v>
      </c>
      <c r="G111" s="13" t="s">
        <v>2</v>
      </c>
      <c r="H111" s="59">
        <f xml:space="preserve"> (H109 * H110) - H109</f>
        <v>-14.551519922605848</v>
      </c>
    </row>
    <row r="112" spans="1:11" ht="14.4">
      <c r="D112" s="91"/>
      <c r="E112" s="91"/>
      <c r="F112" s="128"/>
      <c r="G112" s="128"/>
      <c r="H112" s="52"/>
      <c r="I112" s="128"/>
      <c r="J112" s="52"/>
      <c r="K112" s="82"/>
    </row>
    <row r="113" spans="1:21" customFormat="1" ht="14.4">
      <c r="A113" s="106"/>
      <c r="B113" s="270" t="s">
        <v>253</v>
      </c>
      <c r="C113" s="164"/>
      <c r="D113" s="109"/>
      <c r="F113" s="274"/>
      <c r="G113" s="274"/>
      <c r="H113" s="271"/>
      <c r="I113" s="271"/>
      <c r="J113" s="271"/>
      <c r="K113" s="271"/>
      <c r="L113" s="271"/>
      <c r="M113" s="271"/>
      <c r="N113" s="271"/>
      <c r="O113" s="271"/>
      <c r="P113" s="271"/>
      <c r="Q113" s="271"/>
      <c r="R113" s="271"/>
      <c r="S113" s="271"/>
      <c r="T113" s="271"/>
      <c r="U113" s="271"/>
    </row>
    <row r="114" spans="1:21">
      <c r="B114" s="11" t="s">
        <v>7</v>
      </c>
    </row>
    <row r="115" spans="1:21" ht="14.4" outlineLevel="1">
      <c r="B115" s="270" t="s">
        <v>353</v>
      </c>
      <c r="D115" s="91"/>
      <c r="E115" s="91"/>
      <c r="F115" s="128"/>
      <c r="G115" s="128"/>
      <c r="H115" s="52"/>
      <c r="I115" s="99"/>
      <c r="J115" s="52"/>
      <c r="K115" s="82"/>
    </row>
    <row r="116" spans="1:21" ht="12.75" customHeight="1" outlineLevel="1">
      <c r="A116" s="25"/>
      <c r="B116" s="18"/>
      <c r="C116" s="19"/>
      <c r="D116" s="86"/>
      <c r="E116" s="110" t="str">
        <f>InpC!E$36</f>
        <v>Company type switch</v>
      </c>
      <c r="F116" s="412">
        <f>InpC!F$36</f>
        <v>0</v>
      </c>
      <c r="G116" s="110" t="str">
        <f>InpC!G$36</f>
        <v xml:space="preserve">0 = WaSC, 1 = WoC </v>
      </c>
      <c r="H116" s="110"/>
      <c r="J116" s="117"/>
      <c r="K116" s="83"/>
    </row>
    <row r="117" spans="1:21" outlineLevel="1">
      <c r="A117" s="22"/>
      <c r="B117" s="22"/>
      <c r="C117" s="226"/>
      <c r="D117" s="144" t="str">
        <f>D$84</f>
        <v>PR19</v>
      </c>
      <c r="E117" s="144" t="str">
        <f t="shared" ref="E117:H117" si="22">E$84</f>
        <v>Total revenue requirement - wastewater - 2017/18 year average CPIH deflated</v>
      </c>
      <c r="F117" s="13">
        <f t="shared" si="22"/>
        <v>0</v>
      </c>
      <c r="G117" s="13" t="str">
        <f t="shared" si="22"/>
        <v>£m</v>
      </c>
      <c r="H117" s="59">
        <f t="shared" si="22"/>
        <v>983.97535271296192</v>
      </c>
      <c r="J117" s="225"/>
    </row>
    <row r="118" spans="1:21" outlineLevel="1">
      <c r="A118" s="22"/>
      <c r="B118" s="22"/>
      <c r="C118" s="226"/>
      <c r="D118" s="224" t="str">
        <f>D$72</f>
        <v>PR19</v>
      </c>
      <c r="E118" s="224" t="str">
        <f t="shared" ref="E118:H118" si="23">E$72</f>
        <v>Revenue requirement with impact of reprofiling excl. tax charge - WWN - 2017/18 year average CPIH deflated</v>
      </c>
      <c r="F118" s="13">
        <f t="shared" si="23"/>
        <v>0</v>
      </c>
      <c r="G118" s="13" t="str">
        <f t="shared" si="23"/>
        <v>£m</v>
      </c>
      <c r="H118" s="59">
        <f t="shared" si="23"/>
        <v>798.74508358535138</v>
      </c>
      <c r="J118" s="225"/>
    </row>
    <row r="119" spans="1:21" s="401" customFormat="1" ht="12.75" customHeight="1" outlineLevel="1">
      <c r="A119" s="222"/>
      <c r="B119" s="222"/>
      <c r="C119" s="398"/>
      <c r="D119" s="403" t="str">
        <f>InpAct!D$79</f>
        <v>PR19</v>
      </c>
      <c r="E119" s="403" t="str">
        <f>InpAct!E$79</f>
        <v>Wastewater network - residential apportionment CALC</v>
      </c>
      <c r="F119" s="404">
        <f>InpAct!F$79</f>
        <v>0</v>
      </c>
      <c r="G119" s="404" t="str">
        <f>InpAct!G$79</f>
        <v>%</v>
      </c>
      <c r="H119" s="67">
        <f>InpAct!H$79</f>
        <v>0.80469926661052749</v>
      </c>
      <c r="I119" s="67"/>
      <c r="J119" s="47"/>
      <c r="K119" s="400"/>
      <c r="L119" s="400"/>
      <c r="M119" s="400"/>
      <c r="N119" s="400"/>
      <c r="O119" s="400"/>
      <c r="P119" s="400"/>
      <c r="Q119" s="400"/>
      <c r="R119" s="400"/>
      <c r="S119" s="400"/>
      <c r="T119" s="400"/>
      <c r="U119" s="400"/>
    </row>
    <row r="120" spans="1:21" ht="14.4" outlineLevel="1">
      <c r="A120" s="22"/>
      <c r="B120" s="22"/>
      <c r="C120" s="226"/>
      <c r="D120" s="402" t="str">
        <f>D$76</f>
        <v>PR19</v>
      </c>
      <c r="E120" s="402" t="str">
        <f t="shared" ref="E120:H120" si="24">E$76</f>
        <v>Revenue requirement with impact of reprofiling excl. tax charge - BR - 2017/18 year average CPIH deflated</v>
      </c>
      <c r="F120" s="13">
        <f t="shared" si="24"/>
        <v>0</v>
      </c>
      <c r="G120" s="13" t="str">
        <f t="shared" si="24"/>
        <v>£m</v>
      </c>
      <c r="H120" s="59">
        <f t="shared" si="24"/>
        <v>185.23026912761048</v>
      </c>
      <c r="I120" s="116"/>
      <c r="J120" s="225"/>
      <c r="K120" s="196"/>
    </row>
    <row r="121" spans="1:21" s="401" customFormat="1" ht="12.75" customHeight="1" outlineLevel="1">
      <c r="A121" s="222"/>
      <c r="B121" s="222"/>
      <c r="C121" s="398"/>
      <c r="D121" s="403" t="str">
        <f>InpAct!D$80</f>
        <v>PR19</v>
      </c>
      <c r="E121" s="403" t="str">
        <f>InpAct!E$80</f>
        <v>Bio resources - residential apportionment CALC</v>
      </c>
      <c r="F121" s="404">
        <f>InpAct!F$80</f>
        <v>0</v>
      </c>
      <c r="G121" s="404" t="str">
        <f>InpAct!G$80</f>
        <v>%</v>
      </c>
      <c r="H121" s="67">
        <f>InpAct!H$80</f>
        <v>0.80469926661052749</v>
      </c>
      <c r="I121" s="302"/>
      <c r="J121" s="47"/>
      <c r="K121" s="400"/>
      <c r="L121" s="400"/>
      <c r="M121" s="400"/>
      <c r="N121" s="400"/>
      <c r="O121" s="400"/>
      <c r="P121" s="400"/>
      <c r="Q121" s="400"/>
      <c r="R121" s="400"/>
      <c r="S121" s="400"/>
      <c r="T121" s="400"/>
      <c r="U121" s="400"/>
    </row>
    <row r="122" spans="1:21" outlineLevel="1">
      <c r="A122" s="22"/>
      <c r="B122" s="22"/>
      <c r="C122" s="226"/>
      <c r="D122" s="617" t="str">
        <f>InpC!$F$27</f>
        <v>PR19</v>
      </c>
      <c r="E122" s="144" t="s">
        <v>275</v>
      </c>
      <c r="F122" s="145"/>
      <c r="G122" s="145" t="s">
        <v>3</v>
      </c>
      <c r="H122" s="116">
        <f xml:space="preserve"> IFERROR( IF(F$116 = 1, 0, (H120 / H117 * H121) + (H118 / H117 * H119)), 0)</f>
        <v>0.80469926661052749</v>
      </c>
      <c r="J122" s="276"/>
    </row>
    <row r="123" spans="1:21" outlineLevel="1">
      <c r="D123" s="158"/>
      <c r="E123" s="158"/>
      <c r="F123" s="149"/>
      <c r="G123" s="149"/>
      <c r="H123" s="119"/>
      <c r="J123" s="225"/>
    </row>
    <row r="124" spans="1:21" ht="14.4" outlineLevel="1">
      <c r="B124" s="270" t="s">
        <v>272</v>
      </c>
      <c r="D124" s="91"/>
      <c r="E124" s="91"/>
      <c r="F124" s="128"/>
      <c r="G124" s="128"/>
      <c r="H124" s="52"/>
      <c r="I124" s="99"/>
      <c r="J124" s="52"/>
      <c r="K124" s="82"/>
    </row>
    <row r="125" spans="1:21" ht="12.75" customHeight="1" outlineLevel="1">
      <c r="A125" s="25"/>
      <c r="B125" s="18"/>
      <c r="C125" s="19"/>
      <c r="D125" s="86"/>
      <c r="E125" s="110" t="str">
        <f>InpC!E$36</f>
        <v>Company type switch</v>
      </c>
      <c r="F125" s="412">
        <f>InpC!F$36</f>
        <v>0</v>
      </c>
      <c r="G125" s="110" t="str">
        <f>InpC!G$36</f>
        <v xml:space="preserve">0 = WaSC, 1 = WoC </v>
      </c>
      <c r="H125" s="110"/>
      <c r="J125" s="117"/>
      <c r="K125" s="83"/>
    </row>
    <row r="126" spans="1:21" s="120" customFormat="1" ht="14.4" outlineLevel="1">
      <c r="A126" s="22"/>
      <c r="B126" s="22"/>
      <c r="C126" s="226"/>
      <c r="D126" s="144" t="str">
        <f>D$30</f>
        <v>PR14</v>
      </c>
      <c r="E126" s="144" t="str">
        <f t="shared" ref="E126:H126" si="25">E$30</f>
        <v>Total households - Wastewater</v>
      </c>
      <c r="F126" s="145">
        <f t="shared" si="25"/>
        <v>0</v>
      </c>
      <c r="G126" s="145" t="str">
        <f t="shared" si="25"/>
        <v>000s</v>
      </c>
      <c r="H126" s="85">
        <f t="shared" si="25"/>
        <v>5537.3519999999999</v>
      </c>
      <c r="I126" s="276"/>
      <c r="J126" s="276"/>
      <c r="K126" s="277"/>
    </row>
    <row r="127" spans="1:21" s="120" customFormat="1" ht="14.4" outlineLevel="1">
      <c r="A127" s="22"/>
      <c r="B127" s="22"/>
      <c r="C127" s="226"/>
      <c r="D127" s="144" t="str">
        <f>D$60</f>
        <v>PR19</v>
      </c>
      <c r="E127" s="144" t="str">
        <f t="shared" ref="E127:H127" si="26">E$60</f>
        <v>Total households - Wastewater</v>
      </c>
      <c r="F127" s="145">
        <f t="shared" si="26"/>
        <v>0</v>
      </c>
      <c r="G127" s="145" t="str">
        <f t="shared" si="26"/>
        <v>000s</v>
      </c>
      <c r="H127" s="85">
        <f t="shared" si="26"/>
        <v>5789.2719999999999</v>
      </c>
      <c r="I127" s="276"/>
      <c r="J127" s="276"/>
      <c r="K127" s="277"/>
    </row>
    <row r="128" spans="1:21" ht="14.4" outlineLevel="1">
      <c r="A128" s="22"/>
      <c r="B128" s="22"/>
      <c r="C128" s="226"/>
      <c r="D128" s="144"/>
      <c r="E128" s="144" t="s">
        <v>279</v>
      </c>
      <c r="F128" s="145"/>
      <c r="G128" s="399" t="s">
        <v>3</v>
      </c>
      <c r="H128" s="116">
        <f xml:space="preserve"> IFERROR( IF(F$125 = 1, 0, H127 / H126), 0)</f>
        <v>1.0454946696543763</v>
      </c>
      <c r="I128" s="225"/>
      <c r="J128" s="225"/>
      <c r="K128" s="196"/>
    </row>
    <row r="129" spans="1:21" ht="14.4" outlineLevel="1">
      <c r="A129" s="22"/>
      <c r="B129" s="22"/>
      <c r="C129" s="226"/>
      <c r="D129" s="144"/>
      <c r="E129" s="144"/>
      <c r="F129" s="145"/>
      <c r="G129" s="145"/>
      <c r="H129" s="116"/>
      <c r="I129" s="225"/>
      <c r="J129" s="225"/>
      <c r="K129" s="196"/>
    </row>
    <row r="130" spans="1:21" ht="12.75" customHeight="1" outlineLevel="1">
      <c r="A130" s="25"/>
      <c r="B130" s="18"/>
      <c r="C130" s="19"/>
      <c r="D130" s="86"/>
      <c r="E130" s="110" t="str">
        <f>InpC!E$36</f>
        <v>Company type switch</v>
      </c>
      <c r="F130" s="412">
        <f>InpC!F$36</f>
        <v>0</v>
      </c>
      <c r="G130" s="110" t="str">
        <f>InpC!G$36</f>
        <v xml:space="preserve">0 = WaSC, 1 = WoC </v>
      </c>
      <c r="H130" s="110"/>
      <c r="J130" s="117"/>
      <c r="K130" s="83"/>
    </row>
    <row r="131" spans="1:21" ht="14.4" outlineLevel="1">
      <c r="A131" s="22"/>
      <c r="B131" s="22"/>
      <c r="C131" s="226"/>
      <c r="D131" s="110" t="str">
        <f>InpAct!D$54</f>
        <v>PR14</v>
      </c>
      <c r="E131" s="110" t="str">
        <f>InpAct!E$54</f>
        <v>Wholesale Wastewater - household apportionment calculated</v>
      </c>
      <c r="F131" s="127">
        <f>InpAct!F$54</f>
        <v>0</v>
      </c>
      <c r="G131" s="127" t="str">
        <f>InpAct!G$54</f>
        <v>%</v>
      </c>
      <c r="H131" s="102">
        <f>InpAct!H$54</f>
        <v>0.82002954478207513</v>
      </c>
      <c r="I131" s="225"/>
      <c r="J131" s="225"/>
      <c r="K131" s="196"/>
    </row>
    <row r="132" spans="1:21" ht="14.4" outlineLevel="1">
      <c r="A132" s="22"/>
      <c r="B132" s="22"/>
      <c r="C132" s="226"/>
      <c r="D132" s="144" t="str">
        <f>D$122</f>
        <v>PR19</v>
      </c>
      <c r="E132" s="144" t="str">
        <f t="shared" ref="E132:H132" si="27">E$122</f>
        <v>Weighted average residential apportionment - Wastewater</v>
      </c>
      <c r="F132" s="145">
        <f t="shared" si="27"/>
        <v>0</v>
      </c>
      <c r="G132" s="145" t="str">
        <f t="shared" si="27"/>
        <v>%</v>
      </c>
      <c r="H132" s="116">
        <f t="shared" si="27"/>
        <v>0.80469926661052749</v>
      </c>
      <c r="I132" s="225"/>
      <c r="J132" s="225"/>
      <c r="K132" s="196"/>
    </row>
    <row r="133" spans="1:21" ht="14.4" outlineLevel="1">
      <c r="A133" s="22"/>
      <c r="B133" s="22"/>
      <c r="C133" s="226"/>
      <c r="D133" s="144"/>
      <c r="E133" s="144" t="s">
        <v>280</v>
      </c>
      <c r="F133" s="145"/>
      <c r="G133" s="145" t="s">
        <v>3</v>
      </c>
      <c r="H133" s="116">
        <f xml:space="preserve"> IFERROR( IF(F$130 = 1, 0, H132 / H131), 0)</f>
        <v>0.98130521239253432</v>
      </c>
      <c r="I133" s="225"/>
      <c r="J133" s="225"/>
      <c r="K133" s="196"/>
    </row>
    <row r="134" spans="1:21" ht="14.4" outlineLevel="1">
      <c r="A134" s="22"/>
      <c r="B134" s="22"/>
      <c r="C134" s="226"/>
      <c r="D134" s="144"/>
      <c r="E134" s="144"/>
      <c r="F134" s="145"/>
      <c r="G134" s="145"/>
      <c r="H134" s="116"/>
      <c r="I134" s="225"/>
      <c r="J134" s="225"/>
      <c r="K134" s="196"/>
    </row>
    <row r="135" spans="1:21" ht="12.75" customHeight="1" outlineLevel="1">
      <c r="A135" s="25"/>
      <c r="B135" s="18"/>
      <c r="C135" s="19"/>
      <c r="D135" s="86"/>
      <c r="E135" s="110" t="str">
        <f>InpC!E$36</f>
        <v>Company type switch</v>
      </c>
      <c r="F135" s="412">
        <f>InpC!F$36</f>
        <v>0</v>
      </c>
      <c r="G135" s="110" t="str">
        <f>InpC!G$36</f>
        <v xml:space="preserve">0 = WaSC, 1 = WoC </v>
      </c>
      <c r="H135" s="110"/>
      <c r="J135" s="117"/>
      <c r="K135" s="83"/>
    </row>
    <row r="136" spans="1:21" ht="14.4" outlineLevel="1">
      <c r="A136" s="22"/>
      <c r="B136" s="22"/>
      <c r="C136" s="226"/>
      <c r="D136" s="144"/>
      <c r="E136" s="397" t="str">
        <f>E$128</f>
        <v>PR19 households as a % of PR14 households - Wastewater</v>
      </c>
      <c r="F136" s="13">
        <f t="shared" ref="F136:H136" si="28">F$128</f>
        <v>0</v>
      </c>
      <c r="G136" s="13" t="str">
        <f t="shared" si="28"/>
        <v>%</v>
      </c>
      <c r="H136" s="88">
        <f t="shared" si="28"/>
        <v>1.0454946696543763</v>
      </c>
      <c r="I136" s="225"/>
      <c r="J136" s="225"/>
      <c r="K136" s="196"/>
    </row>
    <row r="137" spans="1:21" ht="14.4" outlineLevel="1">
      <c r="A137" s="22"/>
      <c r="B137" s="22"/>
      <c r="C137" s="226"/>
      <c r="D137" s="144"/>
      <c r="E137" s="397" t="str">
        <f>E$133</f>
        <v>PR19 apportionment as a % of PR14 apportionment - Wastewater</v>
      </c>
      <c r="F137" s="13">
        <f t="shared" ref="F137:H137" si="29">F$133</f>
        <v>0</v>
      </c>
      <c r="G137" s="13" t="str">
        <f t="shared" si="29"/>
        <v>%</v>
      </c>
      <c r="H137" s="88">
        <f t="shared" si="29"/>
        <v>0.98130521239253432</v>
      </c>
      <c r="I137" s="225"/>
      <c r="J137" s="225"/>
      <c r="K137" s="196"/>
    </row>
    <row r="138" spans="1:21" outlineLevel="1">
      <c r="E138" s="137" t="s">
        <v>278</v>
      </c>
      <c r="G138" s="13" t="s">
        <v>3</v>
      </c>
      <c r="H138" s="88">
        <f xml:space="preserve"> IFERROR( IF(F$135 = 1, 0, H137 / H136), 0)</f>
        <v>0.93860374507403088</v>
      </c>
      <c r="J138" s="85"/>
    </row>
    <row r="139" spans="1:21" outlineLevel="1">
      <c r="H139" s="88"/>
    </row>
    <row r="140" spans="1:21" outlineLevel="1">
      <c r="D140" s="137" t="str">
        <f>D$38</f>
        <v>PR14</v>
      </c>
      <c r="E140" s="137" t="str">
        <f t="shared" ref="E140:H140" si="30">E$38</f>
        <v>Wholesale Wastewater allowed revenue per customer - 2017/18 year average CPIH deflated - Wastewater</v>
      </c>
      <c r="F140" s="13">
        <f t="shared" si="30"/>
        <v>0</v>
      </c>
      <c r="G140" s="13" t="str">
        <f t="shared" si="30"/>
        <v>£m</v>
      </c>
      <c r="H140" s="59">
        <f t="shared" si="30"/>
        <v>181.95779108680148</v>
      </c>
    </row>
    <row r="141" spans="1:21" outlineLevel="1">
      <c r="E141" s="137" t="str">
        <f>E$138</f>
        <v>PR19 customer numbers and apportionment as a % of PR14 customer numbers and apportionment</v>
      </c>
      <c r="F141" s="13">
        <f t="shared" ref="F141:H141" si="31">F$138</f>
        <v>0</v>
      </c>
      <c r="G141" s="13" t="str">
        <f t="shared" si="31"/>
        <v>%</v>
      </c>
      <c r="H141" s="88">
        <f t="shared" si="31"/>
        <v>0.93860374507403088</v>
      </c>
      <c r="I141" s="137"/>
      <c r="J141" s="85"/>
    </row>
    <row r="142" spans="1:21" outlineLevel="1">
      <c r="E142" s="137" t="s">
        <v>274</v>
      </c>
      <c r="G142" s="13" t="s">
        <v>2</v>
      </c>
      <c r="H142" s="59">
        <f xml:space="preserve"> (H140 * H141) - H140</f>
        <v>-11.171526927331485</v>
      </c>
    </row>
    <row r="143" spans="1:21">
      <c r="H143" s="59"/>
    </row>
    <row r="144" spans="1:21" customFormat="1" ht="14.4">
      <c r="A144" s="106"/>
      <c r="B144" s="270" t="s">
        <v>252</v>
      </c>
      <c r="C144" s="164"/>
      <c r="D144" s="109"/>
      <c r="F144" s="274"/>
      <c r="G144" s="274"/>
      <c r="H144" s="271"/>
      <c r="I144" s="271"/>
      <c r="J144" s="271"/>
      <c r="K144" s="271"/>
      <c r="L144" s="271"/>
      <c r="M144" s="271"/>
      <c r="N144" s="271"/>
      <c r="O144" s="271"/>
      <c r="P144" s="271"/>
      <c r="Q144" s="271"/>
      <c r="R144" s="271"/>
      <c r="S144" s="271"/>
      <c r="T144" s="271"/>
      <c r="U144" s="271"/>
    </row>
    <row r="145" spans="1:11" ht="14.4">
      <c r="D145" s="91"/>
      <c r="E145" s="91" t="str">
        <f>E$111</f>
        <v>Change in wholesale water allowed revenue per customer due to change in customer numbers and apportionment</v>
      </c>
      <c r="F145" s="13">
        <f t="shared" ref="F145:H145" si="32">F$111</f>
        <v>0</v>
      </c>
      <c r="G145" s="13" t="str">
        <f t="shared" si="32"/>
        <v>£m</v>
      </c>
      <c r="H145" s="59">
        <f t="shared" si="32"/>
        <v>-14.551519922605848</v>
      </c>
      <c r="I145" s="99"/>
      <c r="J145" s="52"/>
      <c r="K145" s="82"/>
    </row>
    <row r="146" spans="1:11" ht="14.4">
      <c r="D146" s="91"/>
      <c r="E146" s="91" t="str">
        <f>E$142</f>
        <v>Change in wholesale wastewater allowed revenue per customer due to change in customer numbers and apportionment</v>
      </c>
      <c r="F146" s="13">
        <f t="shared" ref="F146:H146" si="33">F$142</f>
        <v>0</v>
      </c>
      <c r="G146" s="13" t="str">
        <f t="shared" si="33"/>
        <v>£m</v>
      </c>
      <c r="H146" s="59">
        <f t="shared" si="33"/>
        <v>-11.171526927331485</v>
      </c>
      <c r="I146" s="99"/>
      <c r="J146" s="52"/>
      <c r="K146" s="82"/>
    </row>
    <row r="147" spans="1:11" ht="14.4">
      <c r="D147" s="91"/>
      <c r="E147" s="166" t="s">
        <v>147</v>
      </c>
      <c r="F147" s="167"/>
      <c r="G147" s="167" t="s">
        <v>60</v>
      </c>
      <c r="H147" s="292">
        <f>SUM(H145:H146)</f>
        <v>-25.723046849937333</v>
      </c>
      <c r="I147" s="99"/>
      <c r="J147" s="120" t="s">
        <v>502</v>
      </c>
      <c r="K147" s="82"/>
    </row>
    <row r="149" spans="1:11" s="75" customFormat="1">
      <c r="A149" s="38" t="s">
        <v>6</v>
      </c>
      <c r="B149" s="38"/>
      <c r="C149" s="39"/>
      <c r="D149" s="162"/>
      <c r="E149" s="151"/>
      <c r="F149" s="133"/>
      <c r="G149" s="153"/>
      <c r="H149" s="38"/>
      <c r="I149" s="38"/>
      <c r="J149" s="38"/>
    </row>
    <row r="151" spans="1:11">
      <c r="E151" s="14"/>
    </row>
    <row r="152" spans="1:11">
      <c r="E152" s="119" t="s">
        <v>674</v>
      </c>
      <c r="F152" s="149"/>
      <c r="G152" s="149"/>
      <c r="H152" s="771">
        <f>InpAct!H391</f>
        <v>32.764565943908337</v>
      </c>
    </row>
    <row r="153" spans="1:11">
      <c r="E153" s="119" t="s">
        <v>675</v>
      </c>
      <c r="F153" s="149"/>
      <c r="G153" s="149"/>
      <c r="H153" s="771">
        <f>InpAct!H386</f>
        <v>125.4952338044362</v>
      </c>
    </row>
    <row r="154" spans="1:11">
      <c r="E154" s="158"/>
      <c r="F154" s="149"/>
      <c r="G154" s="149"/>
      <c r="H154" s="119"/>
    </row>
    <row r="155" spans="1:11">
      <c r="E155" s="158" t="str">
        <f>InpC!E55</f>
        <v>Adjustment from 2012/13 year average RPI to 2017/18 year average CPIH deflated</v>
      </c>
      <c r="F155" s="772">
        <f>InpC!F55</f>
        <v>1.1497410673850219</v>
      </c>
      <c r="G155" s="149"/>
      <c r="H155" s="119"/>
    </row>
    <row r="156" spans="1:11">
      <c r="E156" s="158"/>
      <c r="F156" s="149"/>
      <c r="G156" s="149"/>
      <c r="H156" s="119"/>
    </row>
    <row r="157" spans="1:11">
      <c r="E157" s="119" t="s">
        <v>676</v>
      </c>
      <c r="F157" s="149"/>
      <c r="G157" s="149"/>
      <c r="H157" s="771">
        <f>H152*F$155</f>
        <v>37.670767020756109</v>
      </c>
    </row>
    <row r="158" spans="1:11">
      <c r="E158" s="119" t="s">
        <v>677</v>
      </c>
      <c r="F158" s="149"/>
      <c r="G158" s="149"/>
      <c r="H158" s="771">
        <f>H153*F$155</f>
        <v>144.28702406604535</v>
      </c>
    </row>
    <row r="159" spans="1:11">
      <c r="E159" s="158"/>
      <c r="F159" s="149"/>
      <c r="G159" s="149"/>
      <c r="H159" s="119"/>
    </row>
    <row r="160" spans="1:11">
      <c r="E160" s="158" t="str">
        <f>E141</f>
        <v>PR19 customer numbers and apportionment as a % of PR14 customer numbers and apportionment</v>
      </c>
      <c r="F160" s="149"/>
      <c r="G160" s="149"/>
      <c r="H160" s="575">
        <f>H141</f>
        <v>0.93860374507403088</v>
      </c>
    </row>
    <row r="161" spans="5:8">
      <c r="E161" s="158"/>
      <c r="F161" s="149"/>
      <c r="G161" s="149"/>
      <c r="H161" s="119"/>
    </row>
    <row r="162" spans="5:8">
      <c r="E162" s="158" t="s">
        <v>678</v>
      </c>
      <c r="F162" s="149"/>
      <c r="G162" s="149"/>
      <c r="H162" s="771">
        <f>H157*H$160-H157</f>
        <v>-2.3128440152631313</v>
      </c>
    </row>
    <row r="163" spans="5:8">
      <c r="E163" s="158" t="s">
        <v>679</v>
      </c>
      <c r="F163" s="149"/>
      <c r="G163" s="149"/>
      <c r="H163" s="771">
        <f>H158*H$160-H158</f>
        <v>-8.8586829120683603</v>
      </c>
    </row>
    <row r="164" spans="5:8">
      <c r="E164" s="158" t="s">
        <v>680</v>
      </c>
      <c r="F164" s="149"/>
      <c r="G164" s="149"/>
      <c r="H164" s="771">
        <f>SUM(H162:H163)</f>
        <v>-11.171526927331492</v>
      </c>
    </row>
    <row r="165" spans="5:8">
      <c r="E165" s="158" t="s">
        <v>376</v>
      </c>
      <c r="F165" s="149"/>
      <c r="G165" s="149"/>
      <c r="H165" s="771">
        <f>H164-H146</f>
        <v>0</v>
      </c>
    </row>
  </sheetData>
  <conditionalFormatting sqref="F1">
    <cfRule type="cellIs" dxfId="35" priority="31" stopIfTrue="1" operator="notEqual">
      <formula>0</formula>
    </cfRule>
    <cfRule type="cellIs" dxfId="34" priority="32" stopIfTrue="1" operator="equal">
      <formula>""</formula>
    </cfRule>
  </conditionalFormatting>
  <conditionalFormatting sqref="F2">
    <cfRule type="cellIs" dxfId="33" priority="1" stopIfTrue="1" operator="notEqual">
      <formula>0</formula>
    </cfRule>
    <cfRule type="cellIs" dxfId="32" priority="2" stopIfTrue="1" operator="equal">
      <formula>""</formula>
    </cfRule>
  </conditionalFormatting>
  <pageMargins left="0.70866141732283472" right="0.70866141732283472" top="0.74803149606299213" bottom="0.74803149606299213" header="0.31496062992125984" footer="0.31496062992125984"/>
  <pageSetup paperSize="9" scale="39" fitToHeight="0" orientation="portrait" r:id="rId1"/>
  <headerFooter>
    <oddHeader>&amp;LPage &amp;P of &amp;N&amp;CSheet:&amp;A</oddHeader>
    <oddFooter>&amp;L&amp;F ( Printed on &amp;D at &amp;T )&amp;ROFWAT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outlinePr summaryBelow="0" summaryRight="0"/>
    <pageSetUpPr fitToPage="1"/>
  </sheetPr>
  <dimension ref="A1:XFC213"/>
  <sheetViews>
    <sheetView showGridLines="0" defaultGridColor="0" colorId="22" zoomScale="80" zoomScaleNormal="80" workbookViewId="0">
      <pane ySplit="5" topLeftCell="A13" activePane="bottomLeft" state="frozen"/>
      <selection pane="bottomLeft" activeCell="H129" sqref="H129"/>
    </sheetView>
  </sheetViews>
  <sheetFormatPr defaultColWidth="0" defaultRowHeight="13.2"/>
  <cols>
    <col min="1" max="2" width="1.21875" style="11" customWidth="1"/>
    <col min="3" max="3" width="1.21875" style="12" customWidth="1"/>
    <col min="4" max="4" width="5.77734375" style="137" customWidth="1"/>
    <col min="5" max="5" width="131.77734375" style="137" customWidth="1"/>
    <col min="6" max="6" width="12.77734375" style="13" customWidth="1"/>
    <col min="7" max="7" width="11.77734375" style="13" customWidth="1"/>
    <col min="8" max="8" width="15.77734375" style="14" customWidth="1"/>
    <col min="9" max="9" width="3.77734375" style="45" customWidth="1"/>
    <col min="10" max="10" width="32.77734375" style="45" customWidth="1"/>
    <col min="11" max="11" width="23.21875" style="45" customWidth="1"/>
    <col min="12" max="12" width="14" style="45" customWidth="1"/>
    <col min="13" max="13" width="10" style="45" customWidth="1"/>
    <col min="14" max="14" width="9.21875" style="45" customWidth="1"/>
    <col min="15" max="16383" width="9.44140625" style="45" hidden="1"/>
    <col min="16384" max="16384" width="1.44140625" style="45" hidden="1"/>
  </cols>
  <sheetData>
    <row r="1" spans="1:10" ht="24.6">
      <c r="A1" s="1" t="str">
        <f ca="1" xml:space="preserve"> RIGHT(CELL("filename", $A$1), LEN(CELL("filename", $A$1)) - SEARCH("]", CELL("filename", $A$1)))</f>
        <v>Summary_Calc</v>
      </c>
      <c r="B1" s="1"/>
      <c r="C1" s="2"/>
      <c r="D1" s="150"/>
      <c r="E1" s="150"/>
      <c r="F1" s="352">
        <f>Check!F2</f>
        <v>0</v>
      </c>
      <c r="G1" s="353" t="s">
        <v>239</v>
      </c>
      <c r="H1" s="6"/>
    </row>
    <row r="2" spans="1:10">
      <c r="A2" s="7"/>
      <c r="B2" s="7"/>
      <c r="C2" s="8"/>
      <c r="D2" s="161"/>
      <c r="E2" s="91"/>
      <c r="F2" s="336">
        <f>Check!F3</f>
        <v>93</v>
      </c>
      <c r="G2" s="569" t="s">
        <v>352</v>
      </c>
      <c r="H2" s="6"/>
    </row>
    <row r="3" spans="1:10">
      <c r="A3" s="7"/>
      <c r="B3" s="7"/>
      <c r="C3" s="8"/>
      <c r="D3" s="161"/>
      <c r="E3" s="91"/>
      <c r="F3" s="121"/>
      <c r="G3" s="121"/>
      <c r="H3" s="6"/>
    </row>
    <row r="4" spans="1:10">
      <c r="A4" s="7"/>
      <c r="B4" s="7"/>
      <c r="C4" s="8"/>
      <c r="D4" s="161"/>
      <c r="E4" s="91"/>
      <c r="F4" s="121"/>
      <c r="G4" s="121"/>
      <c r="H4" s="6"/>
    </row>
    <row r="5" spans="1:10">
      <c r="A5" s="7"/>
      <c r="B5" s="7"/>
      <c r="C5" s="8"/>
      <c r="D5" s="161"/>
      <c r="E5" s="91"/>
      <c r="F5" s="122" t="s">
        <v>0</v>
      </c>
      <c r="G5" s="122" t="s">
        <v>1</v>
      </c>
      <c r="H5" s="80" t="s">
        <v>22</v>
      </c>
      <c r="I5" s="81"/>
      <c r="J5" s="7" t="s">
        <v>89</v>
      </c>
    </row>
    <row r="7" spans="1:10" s="65" customFormat="1" ht="15" customHeight="1">
      <c r="A7" s="15" t="s">
        <v>413</v>
      </c>
      <c r="B7" s="15"/>
      <c r="C7" s="16"/>
      <c r="D7" s="135"/>
      <c r="E7" s="135"/>
      <c r="F7" s="17"/>
      <c r="G7" s="17"/>
      <c r="H7" s="15"/>
      <c r="I7" s="15"/>
      <c r="J7" s="15"/>
    </row>
    <row r="8" spans="1:10" ht="12.75" customHeight="1">
      <c r="E8" s="136"/>
      <c r="F8" s="123"/>
      <c r="G8" s="123"/>
      <c r="H8" s="33"/>
      <c r="J8" s="82"/>
    </row>
    <row r="9" spans="1:10" ht="13.8">
      <c r="A9" s="448"/>
      <c r="B9" s="620" t="s">
        <v>421</v>
      </c>
      <c r="C9" s="563"/>
      <c r="D9" s="564"/>
      <c r="E9" s="45"/>
      <c r="F9" s="448"/>
      <c r="G9" s="564"/>
      <c r="H9" s="448"/>
      <c r="I9" s="193"/>
      <c r="J9" s="193"/>
    </row>
    <row r="10" spans="1:10" customFormat="1" ht="14.4">
      <c r="A10" s="106"/>
      <c r="B10" s="270" t="s">
        <v>422</v>
      </c>
      <c r="C10" s="164"/>
      <c r="D10" s="109"/>
      <c r="F10" s="274"/>
      <c r="G10" s="274"/>
      <c r="H10" s="271"/>
      <c r="I10" s="271"/>
      <c r="J10" s="271"/>
    </row>
    <row r="11" spans="1:10" s="42" customFormat="1" ht="12.75" customHeight="1">
      <c r="A11" s="51"/>
      <c r="B11" s="51"/>
      <c r="C11" s="147"/>
      <c r="D11" s="31" t="str">
        <f>InpC!D$55</f>
        <v>PR14</v>
      </c>
      <c r="E11" s="31" t="str">
        <f>InpC!E$55</f>
        <v>Adjustment from 2012/13 year average RPI to 2017/18 year average CPIH deflated</v>
      </c>
      <c r="F11" s="726">
        <f>InpC!F$55</f>
        <v>1.1497410673850219</v>
      </c>
      <c r="G11" s="227" t="str">
        <f>InpC!G$55</f>
        <v>factor</v>
      </c>
      <c r="H11" s="227">
        <f>InpC!H$55</f>
        <v>0</v>
      </c>
      <c r="J11" s="148"/>
    </row>
    <row r="12" spans="1:10">
      <c r="A12" s="22"/>
      <c r="B12" s="22"/>
      <c r="C12" s="226"/>
      <c r="D12" s="694" t="str">
        <f>InpAct!D$45</f>
        <v>PR14</v>
      </c>
      <c r="E12" s="694" t="str">
        <f>InpAct!E$45</f>
        <v>Wholesale water allowed revenue per customer excluding capital connection charges, other income and operating income</v>
      </c>
      <c r="F12" s="695">
        <f>InpAct!F$45</f>
        <v>0</v>
      </c>
      <c r="G12" s="227" t="str">
        <f>InpAct!G$45</f>
        <v>£</v>
      </c>
      <c r="H12" s="47">
        <f>InpAct!H$45</f>
        <v>168.18671460502523</v>
      </c>
    </row>
    <row r="13" spans="1:10">
      <c r="A13" s="22"/>
      <c r="B13" s="22"/>
      <c r="C13" s="226"/>
      <c r="D13" s="617" t="str">
        <f>InpC!$F$26</f>
        <v>PR14</v>
      </c>
      <c r="E13" s="402" t="s">
        <v>419</v>
      </c>
      <c r="F13" s="696"/>
      <c r="G13" s="201" t="s">
        <v>60</v>
      </c>
      <c r="H13" s="182">
        <f xml:space="preserve"> H12 * $F11</f>
        <v>193.37117276996176</v>
      </c>
    </row>
    <row r="14" spans="1:10">
      <c r="A14" s="22"/>
      <c r="B14" s="22"/>
      <c r="C14" s="226"/>
      <c r="D14" s="694"/>
      <c r="E14" s="402"/>
      <c r="F14" s="695"/>
      <c r="G14" s="694"/>
      <c r="H14" s="182"/>
    </row>
    <row r="15" spans="1:10" s="42" customFormat="1" ht="12.75" customHeight="1">
      <c r="A15" s="51"/>
      <c r="B15" s="51"/>
      <c r="C15" s="147"/>
      <c r="D15" s="31" t="str">
        <f>InpC!D$55</f>
        <v>PR14</v>
      </c>
      <c r="E15" s="31" t="str">
        <f>InpC!E$55</f>
        <v>Adjustment from 2012/13 year average RPI to 2017/18 year average CPIH deflated</v>
      </c>
      <c r="F15" s="726">
        <f>InpC!F$55</f>
        <v>1.1497410673850219</v>
      </c>
      <c r="G15" s="227" t="str">
        <f>InpC!G$55</f>
        <v>factor</v>
      </c>
      <c r="H15" s="227">
        <f>InpC!H$55</f>
        <v>0</v>
      </c>
      <c r="J15" s="148"/>
    </row>
    <row r="16" spans="1:10" ht="12.75" customHeight="1">
      <c r="A16" s="22"/>
      <c r="B16" s="22"/>
      <c r="C16" s="226"/>
      <c r="D16" s="29" t="str">
        <f>InpAct!D$46</f>
        <v>PR14</v>
      </c>
      <c r="E16" s="29" t="str">
        <f>InpAct!E$46</f>
        <v>Wholesale Wastewater allowed revenue per customer excluding capital connection charges, other income and operating income</v>
      </c>
      <c r="F16" s="29">
        <f>InpAct!F$46</f>
        <v>0</v>
      </c>
      <c r="G16" s="44" t="str">
        <f>InpAct!G$46</f>
        <v>£</v>
      </c>
      <c r="H16" s="49">
        <f>InpAct!H$46</f>
        <v>158.25979974834453</v>
      </c>
      <c r="J16" s="196"/>
    </row>
    <row r="17" spans="1:10" ht="12.75" customHeight="1">
      <c r="A17" s="22"/>
      <c r="B17" s="22"/>
      <c r="C17" s="226"/>
      <c r="D17" s="617" t="str">
        <f>InpC!$F$26</f>
        <v>PR14</v>
      </c>
      <c r="E17" s="119" t="s">
        <v>420</v>
      </c>
      <c r="F17" s="119"/>
      <c r="G17" s="149" t="s">
        <v>60</v>
      </c>
      <c r="H17" s="182">
        <f xml:space="preserve"> H16 * $F15</f>
        <v>181.95779108680148</v>
      </c>
      <c r="J17" s="196"/>
    </row>
    <row r="18" spans="1:10" ht="12.75" customHeight="1">
      <c r="A18" s="22"/>
      <c r="B18" s="22"/>
      <c r="C18" s="226"/>
      <c r="D18" s="29"/>
      <c r="E18" s="29"/>
      <c r="F18" s="29"/>
      <c r="G18" s="29"/>
      <c r="H18" s="49"/>
      <c r="J18" s="196"/>
    </row>
    <row r="19" spans="1:10" ht="12.75" customHeight="1">
      <c r="A19" s="25"/>
      <c r="B19" s="18"/>
      <c r="C19" s="19"/>
      <c r="D19" s="86"/>
      <c r="E19" s="110" t="str">
        <f>InpC!E$36</f>
        <v>Company type switch</v>
      </c>
      <c r="F19" s="411">
        <f>InpC!F$36</f>
        <v>0</v>
      </c>
      <c r="G19" s="110" t="str">
        <f>InpC!G$36</f>
        <v xml:space="preserve">0 = WaSC, 1 = WoC </v>
      </c>
      <c r="H19" s="110"/>
      <c r="J19" s="117"/>
    </row>
    <row r="20" spans="1:10" ht="12.75" customHeight="1">
      <c r="A20" s="22"/>
      <c r="B20" s="22"/>
      <c r="C20" s="226"/>
      <c r="D20" s="285" t="str">
        <f>InpAct!D$35</f>
        <v>PR14</v>
      </c>
      <c r="E20" s="285" t="str">
        <f>InpAct!E$35</f>
        <v>Retail allowed revenue per customer: single service</v>
      </c>
      <c r="F20" s="286">
        <f>InpAct!F$35</f>
        <v>0</v>
      </c>
      <c r="G20" s="286" t="str">
        <f>InpAct!G$35</f>
        <v>£</v>
      </c>
      <c r="H20" s="112">
        <f>InpAct!H$35</f>
        <v>27.091142525470477</v>
      </c>
      <c r="J20" s="196"/>
    </row>
    <row r="21" spans="1:10">
      <c r="D21" s="137" t="str">
        <f>D$13</f>
        <v>PR14</v>
      </c>
      <c r="E21" s="137" t="str">
        <f t="shared" ref="E21:H21" si="0">E$13</f>
        <v>Wholesale water allowed revenue per customer - 2017/18 year average CPIH deflated</v>
      </c>
      <c r="F21" s="295">
        <f t="shared" si="0"/>
        <v>0</v>
      </c>
      <c r="G21" s="295" t="str">
        <f t="shared" si="0"/>
        <v>£</v>
      </c>
      <c r="H21" s="85">
        <f t="shared" si="0"/>
        <v>193.37117276996176</v>
      </c>
    </row>
    <row r="22" spans="1:10" ht="12.75" customHeight="1">
      <c r="A22" s="22"/>
      <c r="B22" s="22"/>
      <c r="C22" s="226"/>
      <c r="D22" s="285" t="str">
        <f>InpAct!D$36</f>
        <v>PR14</v>
      </c>
      <c r="E22" s="285" t="str">
        <f>InpAct!E$36</f>
        <v>Retail allowed revenue per customer: joint services</v>
      </c>
      <c r="F22" s="286">
        <f>InpAct!F$36</f>
        <v>0</v>
      </c>
      <c r="G22" s="286" t="str">
        <f>InpAct!G$36</f>
        <v>£</v>
      </c>
      <c r="H22" s="112">
        <f>InpAct!H$36</f>
        <v>35.218485283111619</v>
      </c>
      <c r="J22" s="196"/>
    </row>
    <row r="23" spans="1:10">
      <c r="D23" s="137" t="str">
        <f>D$17</f>
        <v>PR14</v>
      </c>
      <c r="E23" s="137" t="str">
        <f t="shared" ref="E23:H23" si="1">E$17</f>
        <v>Wholesale Wastewater allowed revenue per customer - 2017/18 year average CPIH deflated</v>
      </c>
      <c r="F23" s="295">
        <f t="shared" si="1"/>
        <v>0</v>
      </c>
      <c r="G23" s="295" t="str">
        <f t="shared" si="1"/>
        <v>£</v>
      </c>
      <c r="H23" s="85">
        <f t="shared" si="1"/>
        <v>181.95779108680148</v>
      </c>
    </row>
    <row r="24" spans="1:10" ht="12.75" customHeight="1">
      <c r="A24" s="25"/>
      <c r="B24" s="18"/>
      <c r="C24" s="19"/>
      <c r="D24" s="617" t="str">
        <f>InpC!$F$26</f>
        <v>PR14</v>
      </c>
      <c r="E24" s="86" t="s">
        <v>143</v>
      </c>
      <c r="F24" s="126"/>
      <c r="G24" s="125" t="s">
        <v>60</v>
      </c>
      <c r="H24" s="182">
        <f>IF(F19 = 1, SUM(H20:H21), SUM(H21:H23) )</f>
        <v>410.54744913987486</v>
      </c>
      <c r="J24" s="117"/>
    </row>
    <row r="25" spans="1:10" ht="12.75" customHeight="1">
      <c r="A25" s="25"/>
      <c r="B25" s="18"/>
      <c r="C25" s="19"/>
      <c r="D25" s="86"/>
      <c r="E25" s="86"/>
      <c r="F25" s="126"/>
      <c r="G25" s="125"/>
      <c r="H25" s="182"/>
      <c r="J25" s="117"/>
    </row>
    <row r="26" spans="1:10" ht="12.75" customHeight="1">
      <c r="A26" s="25"/>
      <c r="B26" s="18"/>
      <c r="C26" s="19"/>
      <c r="D26" s="86"/>
      <c r="E26" s="110" t="str">
        <f>InpC!E$36</f>
        <v>Company type switch</v>
      </c>
      <c r="F26" s="411">
        <f>InpC!F$36</f>
        <v>0</v>
      </c>
      <c r="G26" s="110" t="str">
        <f>InpC!G$36</f>
        <v xml:space="preserve">0 = WaSC, 1 = WoC </v>
      </c>
      <c r="H26" s="110"/>
      <c r="J26" s="117"/>
    </row>
    <row r="27" spans="1:10" s="42" customFormat="1" ht="12.75" customHeight="1">
      <c r="A27" s="51"/>
      <c r="B27" s="61"/>
      <c r="C27" s="62"/>
      <c r="D27" s="110" t="str">
        <f>InpAct!D$13</f>
        <v>PR19</v>
      </c>
      <c r="E27" s="110" t="str">
        <f>InpAct!E$13</f>
        <v>WoC average bill - real</v>
      </c>
      <c r="F27" s="127">
        <f>InpAct!F$13</f>
        <v>0</v>
      </c>
      <c r="G27" s="127" t="str">
        <f>InpAct!G$13</f>
        <v>£</v>
      </c>
      <c r="H27" s="112">
        <f>InpAct!H$13</f>
        <v>0</v>
      </c>
      <c r="J27" s="148"/>
    </row>
    <row r="28" spans="1:10" s="42" customFormat="1" ht="12.75" customHeight="1">
      <c r="A28" s="51"/>
      <c r="B28" s="61"/>
      <c r="C28" s="62"/>
      <c r="D28" s="110" t="str">
        <f>InpAct!D$14</f>
        <v>PR19</v>
      </c>
      <c r="E28" s="110" t="str">
        <f>InpAct!E$14</f>
        <v>WaSC average bill - real</v>
      </c>
      <c r="F28" s="127">
        <f>InpAct!F$14</f>
        <v>0</v>
      </c>
      <c r="G28" s="127" t="str">
        <f>InpAct!G$14</f>
        <v>£</v>
      </c>
      <c r="H28" s="112">
        <f>InpAct!H$14</f>
        <v>384.3691244179509</v>
      </c>
      <c r="J28" s="148"/>
    </row>
    <row r="29" spans="1:10" s="120" customFormat="1" ht="12.75" customHeight="1">
      <c r="A29" s="25"/>
      <c r="B29" s="18"/>
      <c r="C29" s="19"/>
      <c r="D29" s="617" t="str">
        <f>InpC!$F$27</f>
        <v>PR19</v>
      </c>
      <c r="E29" s="144" t="s">
        <v>287</v>
      </c>
      <c r="F29" s="145"/>
      <c r="G29" s="145" t="s">
        <v>60</v>
      </c>
      <c r="H29" s="85">
        <f>IF(F$26=1, H27, H28)</f>
        <v>384.3691244179509</v>
      </c>
      <c r="J29" s="189"/>
    </row>
    <row r="30" spans="1:10" ht="12.75" customHeight="1">
      <c r="A30" s="25"/>
      <c r="B30" s="18"/>
      <c r="C30" s="19"/>
      <c r="D30" s="86"/>
      <c r="E30" s="86"/>
      <c r="F30" s="126"/>
      <c r="G30" s="125"/>
      <c r="H30" s="182"/>
      <c r="J30" s="117"/>
    </row>
    <row r="31" spans="1:10" ht="12.75" customHeight="1">
      <c r="A31" s="22"/>
      <c r="B31" s="22"/>
      <c r="C31" s="226"/>
      <c r="D31" s="290" t="str">
        <f>D$24</f>
        <v>PR14</v>
      </c>
      <c r="E31" s="290" t="str">
        <f t="shared" ref="E31:H31" si="2">E$24</f>
        <v>Average combined bill - 2017/18 year average CPIH deflated</v>
      </c>
      <c r="F31" s="295">
        <f t="shared" si="2"/>
        <v>0</v>
      </c>
      <c r="G31" s="295" t="str">
        <f t="shared" si="2"/>
        <v>£</v>
      </c>
      <c r="H31" s="85">
        <f t="shared" si="2"/>
        <v>410.54744913987486</v>
      </c>
      <c r="J31" s="196"/>
    </row>
    <row r="32" spans="1:10" ht="12.75" customHeight="1">
      <c r="A32" s="22"/>
      <c r="B32" s="22"/>
      <c r="C32" s="226"/>
      <c r="D32" s="402" t="str">
        <f>D$29</f>
        <v>PR19</v>
      </c>
      <c r="E32" s="402" t="str">
        <f t="shared" ref="E32:H32" si="3">E$29</f>
        <v>Average bill - real</v>
      </c>
      <c r="F32" s="295">
        <f t="shared" si="3"/>
        <v>0</v>
      </c>
      <c r="G32" s="295" t="str">
        <f t="shared" si="3"/>
        <v>£</v>
      </c>
      <c r="H32" s="85">
        <f t="shared" si="3"/>
        <v>384.3691244179509</v>
      </c>
      <c r="J32" s="196"/>
    </row>
    <row r="33" spans="1:14" ht="12.75" customHeight="1">
      <c r="A33" s="22"/>
      <c r="B33" s="22"/>
      <c r="C33" s="226"/>
      <c r="D33" s="224"/>
      <c r="E33" s="281" t="s">
        <v>444</v>
      </c>
      <c r="F33" s="282"/>
      <c r="G33" s="282" t="s">
        <v>60</v>
      </c>
      <c r="H33" s="284">
        <f>H32-H31</f>
        <v>-26.178324721923957</v>
      </c>
      <c r="J33" s="196"/>
    </row>
    <row r="34" spans="1:14" ht="12.75" customHeight="1">
      <c r="A34" s="22"/>
      <c r="B34" s="22"/>
      <c r="C34" s="226"/>
      <c r="D34" s="224"/>
      <c r="E34" s="281"/>
      <c r="F34" s="282"/>
      <c r="G34" s="282"/>
      <c r="H34" s="284"/>
      <c r="J34" s="196"/>
    </row>
    <row r="35" spans="1:14" ht="12.75" customHeight="1">
      <c r="A35" s="22"/>
      <c r="B35" s="22"/>
      <c r="C35" s="226"/>
      <c r="D35" s="224" t="str">
        <f>InpAct!D$41</f>
        <v>PR14</v>
      </c>
      <c r="E35" s="224" t="str">
        <f>InpAct!E$41</f>
        <v>Wholesale dummy control allowed revenue  - real</v>
      </c>
      <c r="F35" s="295">
        <f>InpAct!F$41</f>
        <v>0</v>
      </c>
      <c r="G35" s="295" t="str">
        <f>InpAct!G$41</f>
        <v>£/cust</v>
      </c>
      <c r="H35" s="85">
        <f>InpAct!H$41</f>
        <v>35.357923005492978</v>
      </c>
      <c r="J35" s="196"/>
    </row>
    <row r="36" spans="1:14" ht="12.75" customHeight="1">
      <c r="B36" s="22"/>
      <c r="C36" s="226"/>
      <c r="D36" s="285" t="str">
        <f>InpAct!D$42</f>
        <v>PR19</v>
      </c>
      <c r="E36" s="285" t="str">
        <f>InpAct!E$42</f>
        <v>Wholesale dummy control allowed revenue (excluding capital connection charges, other income and operating income) per residential customer  - real</v>
      </c>
      <c r="F36" s="286">
        <f>InpAct!F$42</f>
        <v>0</v>
      </c>
      <c r="G36" s="286" t="str">
        <f>InpAct!G$42</f>
        <v>£</v>
      </c>
      <c r="H36" s="112">
        <f>InpAct!H$42</f>
        <v>19.273667616668259</v>
      </c>
      <c r="J36" s="196"/>
    </row>
    <row r="37" spans="1:14" ht="12.75" customHeight="1">
      <c r="B37" s="22"/>
      <c r="C37" s="226"/>
      <c r="D37" s="285"/>
      <c r="E37" s="281" t="s">
        <v>651</v>
      </c>
      <c r="F37" s="282"/>
      <c r="G37" s="282" t="s">
        <v>60</v>
      </c>
      <c r="H37" s="284">
        <f>H36-H35</f>
        <v>-16.084255388824719</v>
      </c>
      <c r="J37" s="196"/>
    </row>
    <row r="38" spans="1:14" ht="12.75" customHeight="1">
      <c r="A38" s="22"/>
      <c r="B38" s="22"/>
      <c r="C38" s="226"/>
      <c r="D38" s="224"/>
      <c r="E38" s="281"/>
      <c r="F38" s="282"/>
      <c r="G38" s="282"/>
      <c r="H38" s="284"/>
      <c r="J38" s="196"/>
    </row>
    <row r="39" spans="1:14" s="625" customFormat="1" ht="12.75" customHeight="1">
      <c r="A39" s="626"/>
      <c r="B39" s="626" t="s">
        <v>652</v>
      </c>
      <c r="C39" s="627"/>
      <c r="D39" s="628"/>
      <c r="E39" s="629"/>
      <c r="F39" s="630"/>
      <c r="G39" s="630"/>
      <c r="H39" s="631"/>
      <c r="J39" s="632"/>
    </row>
    <row r="40" spans="1:14" ht="12.75" customHeight="1">
      <c r="A40" s="22"/>
      <c r="B40" s="22"/>
      <c r="C40" s="226"/>
      <c r="D40" s="224"/>
      <c r="E40" s="281" t="str">
        <f>E$33</f>
        <v>Change in average combined bill</v>
      </c>
      <c r="F40" s="295">
        <f t="shared" ref="F40:H40" si="4">F$33</f>
        <v>0</v>
      </c>
      <c r="G40" s="295" t="str">
        <f t="shared" si="4"/>
        <v>£</v>
      </c>
      <c r="H40" s="85">
        <f t="shared" si="4"/>
        <v>-26.178324721923957</v>
      </c>
      <c r="J40" s="196"/>
      <c r="K40" s="81" t="s">
        <v>28</v>
      </c>
      <c r="L40" s="81" t="s">
        <v>725</v>
      </c>
      <c r="M40" s="81" t="s">
        <v>726</v>
      </c>
      <c r="N40" s="81" t="s">
        <v>376</v>
      </c>
    </row>
    <row r="41" spans="1:14" ht="12.75" customHeight="1">
      <c r="A41" s="22"/>
      <c r="B41" s="22"/>
      <c r="C41" s="226"/>
      <c r="D41" s="224"/>
      <c r="E41" s="285" t="str">
        <f>Customers!E$147</f>
        <v>Change in customer numbers and residential apportionment</v>
      </c>
      <c r="F41" s="286">
        <f>Customers!F$147</f>
        <v>0</v>
      </c>
      <c r="G41" s="286" t="str">
        <f>Customers!G$147</f>
        <v>£</v>
      </c>
      <c r="H41" s="112">
        <f>Customers!H$147</f>
        <v>-25.723046849937333</v>
      </c>
      <c r="J41" s="271"/>
    </row>
    <row r="42" spans="1:14" ht="12.75" customHeight="1">
      <c r="B42" s="22"/>
      <c r="C42" s="226"/>
      <c r="D42" s="224"/>
      <c r="E42" s="285" t="str">
        <f>Retail!E$24</f>
        <v>Change in retail CTS</v>
      </c>
      <c r="F42" s="286">
        <f>Retail!F$24</f>
        <v>0</v>
      </c>
      <c r="G42" s="286" t="str">
        <f>Retail!G$24</f>
        <v>£</v>
      </c>
      <c r="H42" s="112">
        <f>Retail!H$24</f>
        <v>-5.7072884335123604</v>
      </c>
      <c r="J42" s="196"/>
    </row>
    <row r="43" spans="1:14" s="782" customFormat="1" ht="12.75" customHeight="1">
      <c r="A43" s="776"/>
      <c r="B43" s="776"/>
      <c r="C43" s="777"/>
      <c r="D43" s="778"/>
      <c r="E43" s="779"/>
      <c r="F43" s="780"/>
      <c r="G43" s="780"/>
      <c r="H43" s="781"/>
      <c r="J43" s="783"/>
      <c r="K43" s="45"/>
      <c r="L43" s="45"/>
      <c r="M43" s="45"/>
      <c r="N43" s="45"/>
    </row>
    <row r="44" spans="1:14" ht="12.75" customHeight="1">
      <c r="B44" s="22"/>
      <c r="C44" s="226"/>
      <c r="D44" s="285"/>
      <c r="E44" s="290" t="str">
        <f>E$37</f>
        <v>Change in wholesale dummy control allowed revenue</v>
      </c>
      <c r="F44" s="295">
        <f>F$37</f>
        <v>0</v>
      </c>
      <c r="G44" s="295" t="str">
        <f>G$37</f>
        <v>£</v>
      </c>
      <c r="H44" s="85">
        <f>H$37</f>
        <v>-16.084255388824719</v>
      </c>
      <c r="J44" s="196"/>
    </row>
    <row r="45" spans="1:14" s="120" customFormat="1" ht="12.75" customHeight="1">
      <c r="A45" s="11"/>
      <c r="B45" s="22"/>
      <c r="C45" s="226"/>
      <c r="D45" s="402"/>
      <c r="E45" s="290" t="s">
        <v>469</v>
      </c>
      <c r="F45" s="295"/>
      <c r="G45" s="295" t="s">
        <v>60</v>
      </c>
      <c r="H45" s="85">
        <f>H40 - SUM(H41:H44)</f>
        <v>21.336265950350452</v>
      </c>
      <c r="J45" s="277"/>
      <c r="K45" s="787">
        <f>H189</f>
        <v>18.950822147799936</v>
      </c>
      <c r="L45" s="787">
        <f>H200</f>
        <v>2.3854438662989503</v>
      </c>
      <c r="M45" s="787">
        <f>SUM(K45:L45)</f>
        <v>21.336266014098886</v>
      </c>
      <c r="N45" s="787">
        <f>M45-H45</f>
        <v>6.3748434087074202E-8</v>
      </c>
    </row>
    <row r="46" spans="1:14" s="625" customFormat="1" ht="12.75" customHeight="1">
      <c r="A46" s="626"/>
      <c r="B46" s="626" t="s">
        <v>618</v>
      </c>
      <c r="C46" s="627"/>
      <c r="D46" s="628"/>
      <c r="E46" s="629"/>
      <c r="F46" s="630"/>
      <c r="G46" s="630"/>
      <c r="H46" s="631"/>
      <c r="J46" s="632"/>
    </row>
    <row r="47" spans="1:14" ht="12.75" customHeight="1">
      <c r="E47" s="136"/>
      <c r="F47" s="123"/>
      <c r="G47" s="123"/>
      <c r="H47" s="33"/>
      <c r="J47" s="82"/>
    </row>
    <row r="48" spans="1:14" customFormat="1" ht="14.4">
      <c r="A48" s="106"/>
      <c r="B48" s="270" t="s">
        <v>470</v>
      </c>
      <c r="C48" s="164"/>
      <c r="D48" s="109"/>
      <c r="F48" s="274"/>
      <c r="G48" s="274"/>
      <c r="H48" s="271"/>
      <c r="I48" s="271"/>
      <c r="J48" s="271"/>
    </row>
    <row r="49" spans="1:14" s="42" customFormat="1" ht="12.75" customHeight="1">
      <c r="A49" s="48"/>
      <c r="B49" s="48"/>
      <c r="C49" s="53"/>
      <c r="D49" s="152"/>
      <c r="E49" s="49" t="str">
        <f>Totex!E$140</f>
        <v>Change in PAYG Totex due to change in PAYG%</v>
      </c>
      <c r="F49" s="49">
        <f>Totex!F$140</f>
        <v>0</v>
      </c>
      <c r="G49" s="294" t="str">
        <f>Totex!G$140</f>
        <v>£m</v>
      </c>
      <c r="H49" s="49">
        <f>Totex!H$140</f>
        <v>-233.02539915210883</v>
      </c>
      <c r="J49" s="591"/>
      <c r="K49" s="759">
        <f>H140</f>
        <v>-143.81793719030662</v>
      </c>
      <c r="L49" s="759">
        <f>H151</f>
        <v>-89.20746196180221</v>
      </c>
      <c r="M49" s="759">
        <f>SUM(K49:L49)</f>
        <v>-233.02539915210883</v>
      </c>
      <c r="N49" s="759">
        <f>M49-H49</f>
        <v>0</v>
      </c>
    </row>
    <row r="50" spans="1:14" s="42" customFormat="1" ht="12.75" customHeight="1">
      <c r="A50" s="48"/>
      <c r="B50" s="48"/>
      <c r="C50" s="53"/>
      <c r="D50" s="152"/>
      <c r="E50" s="49" t="str">
        <f>Totex!E$144</f>
        <v>Change in PAYG Totex due to change in Totex</v>
      </c>
      <c r="F50" s="49">
        <f>Totex!F$144</f>
        <v>0</v>
      </c>
      <c r="G50" s="294" t="str">
        <f>Totex!G$144</f>
        <v>£m</v>
      </c>
      <c r="H50" s="49">
        <f>Totex!H$144</f>
        <v>159.67575777044976</v>
      </c>
      <c r="J50" s="591"/>
      <c r="K50" s="759">
        <f t="shared" ref="K50:K56" si="5">H141</f>
        <v>98.639245751108604</v>
      </c>
      <c r="L50" s="759">
        <f t="shared" ref="L50:L56" si="6">H152</f>
        <v>61.03651201934116</v>
      </c>
      <c r="M50" s="759">
        <f t="shared" ref="M50:M56" si="7">SUM(K50:L50)</f>
        <v>159.67575777044976</v>
      </c>
      <c r="N50" s="759">
        <f t="shared" ref="N50:N56" si="8">M50-H50</f>
        <v>0</v>
      </c>
    </row>
    <row r="51" spans="1:14" s="42" customFormat="1" ht="12.75" customHeight="1">
      <c r="A51" s="48"/>
      <c r="B51" s="48"/>
      <c r="C51" s="53"/>
      <c r="D51" s="152"/>
      <c r="E51" s="272" t="str">
        <f>RCV!E$372</f>
        <v>Change in RCV depreciation due to change in run-off rate</v>
      </c>
      <c r="F51" s="273">
        <f>RCV!F$372</f>
        <v>0</v>
      </c>
      <c r="G51" s="273" t="str">
        <f>RCV!G$372</f>
        <v>£m</v>
      </c>
      <c r="H51" s="63">
        <f>RCV!H$372</f>
        <v>84.571612304337492</v>
      </c>
      <c r="J51" s="591"/>
      <c r="K51" s="759">
        <f t="shared" si="5"/>
        <v>64.90521703302872</v>
      </c>
      <c r="L51" s="759">
        <f t="shared" si="6"/>
        <v>19.666395271308772</v>
      </c>
      <c r="M51" s="759">
        <f t="shared" si="7"/>
        <v>84.571612304337492</v>
      </c>
      <c r="N51" s="759">
        <f t="shared" si="8"/>
        <v>0</v>
      </c>
    </row>
    <row r="52" spans="1:14" s="42" customFormat="1" ht="12.75" customHeight="1">
      <c r="A52" s="48"/>
      <c r="B52" s="48"/>
      <c r="C52" s="53"/>
      <c r="D52" s="152"/>
      <c r="E52" s="272" t="str">
        <f>RCV!E$376</f>
        <v>Change in RCV depreciation due to change in RCV</v>
      </c>
      <c r="F52" s="273">
        <f>RCV!F$376</f>
        <v>0</v>
      </c>
      <c r="G52" s="273" t="str">
        <f>RCV!G$376</f>
        <v>£m</v>
      </c>
      <c r="H52" s="63">
        <f>RCV!H$376</f>
        <v>109.51448758188991</v>
      </c>
      <c r="J52" s="591"/>
      <c r="K52" s="759">
        <f t="shared" si="5"/>
        <v>74.638800651440022</v>
      </c>
      <c r="L52" s="759">
        <f t="shared" si="6"/>
        <v>34.875686930449888</v>
      </c>
      <c r="M52" s="759">
        <f t="shared" si="7"/>
        <v>109.51448758188991</v>
      </c>
      <c r="N52" s="759">
        <f t="shared" si="8"/>
        <v>0</v>
      </c>
    </row>
    <row r="53" spans="1:14" s="42" customFormat="1" ht="12.75" customHeight="1">
      <c r="A53" s="48"/>
      <c r="B53" s="48"/>
      <c r="C53" s="53"/>
      <c r="D53" s="152"/>
      <c r="E53" s="272" t="str">
        <f>RCV!E$538</f>
        <v>Change in return on RCV due to change in WACC</v>
      </c>
      <c r="F53" s="273">
        <f>RCV!F$538</f>
        <v>0</v>
      </c>
      <c r="G53" s="273" t="str">
        <f>RCV!G$538</f>
        <v>£m</v>
      </c>
      <c r="H53" s="63">
        <f>RCV!H$538</f>
        <v>-82.876182276628015</v>
      </c>
      <c r="J53" s="591"/>
      <c r="K53" s="759">
        <f t="shared" si="5"/>
        <v>-38.389645853109897</v>
      </c>
      <c r="L53" s="759">
        <f t="shared" si="6"/>
        <v>-44.486536423518118</v>
      </c>
      <c r="M53" s="759">
        <f t="shared" si="7"/>
        <v>-82.876182276628015</v>
      </c>
      <c r="N53" s="759">
        <f t="shared" si="8"/>
        <v>0</v>
      </c>
    </row>
    <row r="54" spans="1:14" s="42" customFormat="1" ht="12.75" customHeight="1">
      <c r="A54" s="48"/>
      <c r="B54" s="48"/>
      <c r="C54" s="53"/>
      <c r="D54" s="152"/>
      <c r="E54" s="272" t="str">
        <f>RCV!E$542</f>
        <v>Change in return on RCV due to change in RCV</v>
      </c>
      <c r="F54" s="273">
        <f>RCV!F$542</f>
        <v>0</v>
      </c>
      <c r="G54" s="273" t="str">
        <f>RCV!G$542</f>
        <v>£m</v>
      </c>
      <c r="H54" s="63">
        <f>RCV!H$542</f>
        <v>75.34767666005331</v>
      </c>
      <c r="J54" s="591"/>
      <c r="K54" s="759">
        <f t="shared" si="5"/>
        <v>51.988898921537356</v>
      </c>
      <c r="L54" s="759">
        <f t="shared" si="6"/>
        <v>23.358777738515954</v>
      </c>
      <c r="M54" s="759">
        <f t="shared" si="7"/>
        <v>75.34767666005331</v>
      </c>
      <c r="N54" s="759">
        <f t="shared" si="8"/>
        <v>0</v>
      </c>
    </row>
    <row r="55" spans="1:14" ht="12.75" customHeight="1">
      <c r="E55" s="285" t="str">
        <f>Wholesale!E$64</f>
        <v>Change in other wholesale items</v>
      </c>
      <c r="F55" s="273">
        <f>Wholesale!F$64</f>
        <v>0</v>
      </c>
      <c r="G55" s="273" t="str">
        <f>Wholesale!G$64</f>
        <v>£m</v>
      </c>
      <c r="H55" s="63">
        <f>Wholesale!H$64</f>
        <v>-11.660829351844528</v>
      </c>
      <c r="J55" s="418"/>
      <c r="K55" s="759">
        <f t="shared" si="5"/>
        <v>-12.575598875460372</v>
      </c>
      <c r="L55" s="759">
        <f t="shared" si="6"/>
        <v>0.91476952361584241</v>
      </c>
      <c r="M55" s="759">
        <f t="shared" si="7"/>
        <v>-11.66082935184453</v>
      </c>
      <c r="N55" s="759">
        <f t="shared" si="8"/>
        <v>0</v>
      </c>
    </row>
    <row r="56" spans="1:14" ht="12.75" customHeight="1">
      <c r="E56" s="285" t="str">
        <f>Reconciliation!E$66</f>
        <v>Change in wholesale reconciliation items</v>
      </c>
      <c r="F56" s="286">
        <f>Reconciliation!F$66</f>
        <v>0</v>
      </c>
      <c r="G56" s="286" t="str">
        <f>Reconciliation!G$66</f>
        <v>£m</v>
      </c>
      <c r="H56" s="112">
        <f>Reconciliation!H$66</f>
        <v>9.6223721377527447</v>
      </c>
      <c r="J56" s="418"/>
      <c r="K56" s="759">
        <f t="shared" si="5"/>
        <v>-1.3811549133659993</v>
      </c>
      <c r="L56" s="759">
        <f t="shared" si="6"/>
        <v>11.003527051118748</v>
      </c>
      <c r="M56" s="759">
        <f t="shared" si="7"/>
        <v>9.6223721377527482</v>
      </c>
      <c r="N56" s="759">
        <f t="shared" si="8"/>
        <v>0</v>
      </c>
    </row>
    <row r="57" spans="1:14" ht="12.75" customHeight="1">
      <c r="A57" s="22"/>
      <c r="B57" s="22"/>
      <c r="C57" s="226"/>
      <c r="D57" s="224"/>
      <c r="E57" s="421" t="s">
        <v>142</v>
      </c>
      <c r="F57" s="422"/>
      <c r="G57" s="422" t="s">
        <v>2</v>
      </c>
      <c r="H57" s="423">
        <f>SUM(H49:H56)</f>
        <v>111.16949567390185</v>
      </c>
      <c r="J57" s="574"/>
      <c r="K57" s="795">
        <f>SUM(K49:K56)</f>
        <v>94.007825524871805</v>
      </c>
      <c r="L57" s="795">
        <f t="shared" ref="L57:N57" si="9">SUM(L49:L56)</f>
        <v>17.161670149030037</v>
      </c>
      <c r="M57" s="795">
        <f t="shared" si="9"/>
        <v>111.16949567390185</v>
      </c>
      <c r="N57" s="795">
        <f t="shared" si="9"/>
        <v>0</v>
      </c>
    </row>
    <row r="58" spans="1:14" ht="12.75" customHeight="1">
      <c r="A58" s="22"/>
      <c r="B58" s="22"/>
      <c r="C58" s="226"/>
      <c r="D58" s="224"/>
      <c r="E58" s="281"/>
      <c r="F58" s="282"/>
      <c r="G58" s="282"/>
      <c r="H58" s="283"/>
      <c r="J58" s="574"/>
    </row>
    <row r="59" spans="1:14" ht="12.75" customHeight="1">
      <c r="A59" s="22"/>
      <c r="B59" s="22"/>
      <c r="C59" s="226"/>
      <c r="D59" s="224"/>
      <c r="E59" s="281" t="str">
        <f>E$45</f>
        <v>Change due to changes in the components of wholesale allowed revenue (per customer)</v>
      </c>
      <c r="F59" s="282">
        <f t="shared" ref="F59:H59" si="10">F$45</f>
        <v>0</v>
      </c>
      <c r="G59" s="282" t="str">
        <f t="shared" si="10"/>
        <v>£</v>
      </c>
      <c r="H59" s="284">
        <f t="shared" si="10"/>
        <v>21.336265950350452</v>
      </c>
      <c r="J59" s="196"/>
      <c r="K59" s="759">
        <f t="shared" ref="K59:L59" si="11">K$45</f>
        <v>18.950822147799936</v>
      </c>
      <c r="L59" s="759">
        <f t="shared" si="11"/>
        <v>2.3854438662989503</v>
      </c>
      <c r="M59" s="759">
        <f>SUM(K59:L59)</f>
        <v>21.336266014098886</v>
      </c>
      <c r="N59" s="759">
        <f>M59-H59</f>
        <v>6.3748434087074202E-8</v>
      </c>
    </row>
    <row r="60" spans="1:14" ht="12.75" customHeight="1">
      <c r="A60" s="22"/>
      <c r="B60" s="22"/>
      <c r="C60" s="226"/>
      <c r="D60" s="224"/>
      <c r="E60" s="281" t="str">
        <f>E$57</f>
        <v>Change due to all wholesale changes except customer numbers</v>
      </c>
      <c r="F60" s="282">
        <f t="shared" ref="F60:H60" si="12">F$57</f>
        <v>0</v>
      </c>
      <c r="G60" s="282" t="str">
        <f t="shared" si="12"/>
        <v>£m</v>
      </c>
      <c r="H60" s="284">
        <f t="shared" si="12"/>
        <v>111.16949567390185</v>
      </c>
      <c r="J60" s="196"/>
      <c r="K60" s="759">
        <f t="shared" ref="K60:L60" si="13">K$57</f>
        <v>94.007825524871805</v>
      </c>
      <c r="L60" s="759">
        <f t="shared" si="13"/>
        <v>17.161670149030037</v>
      </c>
      <c r="M60" s="759">
        <f>SUM(K60:L60)</f>
        <v>111.16949567390185</v>
      </c>
      <c r="N60" s="759">
        <f>M60-H60</f>
        <v>0</v>
      </c>
    </row>
    <row r="61" spans="1:14" ht="12.75" customHeight="1">
      <c r="A61" s="22"/>
      <c r="B61" s="22"/>
      <c r="C61" s="226"/>
      <c r="D61" s="224"/>
      <c r="E61" s="281" t="str">
        <f>E$49</f>
        <v>Change in PAYG Totex due to change in PAYG%</v>
      </c>
      <c r="F61" s="282">
        <f t="shared" ref="F61:H61" si="14">F$49</f>
        <v>0</v>
      </c>
      <c r="G61" s="282" t="str">
        <f t="shared" si="14"/>
        <v>£m</v>
      </c>
      <c r="H61" s="284">
        <f t="shared" si="14"/>
        <v>-233.02539915210883</v>
      </c>
      <c r="J61" s="196"/>
      <c r="K61" s="759">
        <f t="shared" ref="K61:L61" si="15">K$49</f>
        <v>-143.81793719030662</v>
      </c>
      <c r="L61" s="759">
        <f t="shared" si="15"/>
        <v>-89.20746196180221</v>
      </c>
      <c r="M61" s="759">
        <f>SUM(K61:L61)</f>
        <v>-233.02539915210883</v>
      </c>
      <c r="N61" s="759">
        <f>M61-H61</f>
        <v>0</v>
      </c>
    </row>
    <row r="62" spans="1:14" ht="12.75" customHeight="1">
      <c r="A62" s="22"/>
      <c r="B62" s="22"/>
      <c r="C62" s="226"/>
      <c r="D62" s="224"/>
      <c r="E62" s="281" t="s">
        <v>298</v>
      </c>
      <c r="F62" s="282"/>
      <c r="G62" s="289" t="s">
        <v>60</v>
      </c>
      <c r="H62" s="794">
        <f xml:space="preserve"> IF(InpC!$F$67=0,IFERROR( $H$59 * H61 / $H$60, 0),H203)</f>
        <v>-41.391618617204166</v>
      </c>
      <c r="J62" s="196"/>
      <c r="K62" s="759">
        <f>IFERROR( K59 * K61 / K60, 0)</f>
        <v>-28.991928428723003</v>
      </c>
      <c r="L62" s="759">
        <f>IFERROR( L59 * L61 / L60, 0)</f>
        <v>-12.399690188481173</v>
      </c>
      <c r="M62" s="759">
        <f>SUM(K62:L62)</f>
        <v>-41.391618617204173</v>
      </c>
      <c r="N62" s="759">
        <f>M62-H62</f>
        <v>0</v>
      </c>
    </row>
    <row r="63" spans="1:14" ht="12.75" customHeight="1">
      <c r="A63" s="22"/>
      <c r="B63" s="22"/>
      <c r="C63" s="226"/>
      <c r="D63" s="224"/>
      <c r="E63" s="281"/>
      <c r="F63" s="282"/>
      <c r="G63" s="282"/>
      <c r="H63" s="283"/>
      <c r="J63" s="196"/>
    </row>
    <row r="64" spans="1:14" ht="12.75" customHeight="1">
      <c r="A64" s="22"/>
      <c r="B64" s="22"/>
      <c r="C64" s="226"/>
      <c r="D64" s="224"/>
      <c r="E64" s="281" t="str">
        <f>E$45</f>
        <v>Change due to changes in the components of wholesale allowed revenue (per customer)</v>
      </c>
      <c r="F64" s="282">
        <f t="shared" ref="F64:H64" si="16">F$45</f>
        <v>0</v>
      </c>
      <c r="G64" s="282" t="str">
        <f t="shared" si="16"/>
        <v>£</v>
      </c>
      <c r="H64" s="284">
        <f t="shared" si="16"/>
        <v>21.336265950350452</v>
      </c>
      <c r="J64" s="196"/>
      <c r="K64" s="759">
        <f t="shared" ref="K64:L64" si="17">K$45</f>
        <v>18.950822147799936</v>
      </c>
      <c r="L64" s="759">
        <f t="shared" si="17"/>
        <v>2.3854438662989503</v>
      </c>
      <c r="M64" s="759">
        <f>SUM(K64:L64)</f>
        <v>21.336266014098886</v>
      </c>
      <c r="N64" s="759">
        <f>M64-H64</f>
        <v>6.3748434087074202E-8</v>
      </c>
    </row>
    <row r="65" spans="1:14" ht="12.75" customHeight="1">
      <c r="A65" s="22"/>
      <c r="B65" s="22"/>
      <c r="C65" s="226"/>
      <c r="D65" s="224"/>
      <c r="E65" s="281" t="str">
        <f>E$57</f>
        <v>Change due to all wholesale changes except customer numbers</v>
      </c>
      <c r="F65" s="282">
        <f t="shared" ref="F65:H65" si="18">F$57</f>
        <v>0</v>
      </c>
      <c r="G65" s="282" t="str">
        <f t="shared" si="18"/>
        <v>£m</v>
      </c>
      <c r="H65" s="284">
        <f t="shared" si="18"/>
        <v>111.16949567390185</v>
      </c>
      <c r="J65" s="196"/>
      <c r="K65" s="759">
        <f t="shared" ref="K65:L65" si="19">K$57</f>
        <v>94.007825524871805</v>
      </c>
      <c r="L65" s="759">
        <f t="shared" si="19"/>
        <v>17.161670149030037</v>
      </c>
      <c r="M65" s="759">
        <f>SUM(K65:L65)</f>
        <v>111.16949567390185</v>
      </c>
      <c r="N65" s="759">
        <f>M65-H65</f>
        <v>0</v>
      </c>
    </row>
    <row r="66" spans="1:14" ht="12.75" customHeight="1">
      <c r="A66" s="22"/>
      <c r="B66" s="22"/>
      <c r="C66" s="226"/>
      <c r="D66" s="224"/>
      <c r="E66" s="281" t="str">
        <f>E$50</f>
        <v>Change in PAYG Totex due to change in Totex</v>
      </c>
      <c r="F66" s="282">
        <f t="shared" ref="F66:H66" si="20">F$50</f>
        <v>0</v>
      </c>
      <c r="G66" s="282" t="str">
        <f t="shared" si="20"/>
        <v>£m</v>
      </c>
      <c r="H66" s="284">
        <f t="shared" si="20"/>
        <v>159.67575777044976</v>
      </c>
      <c r="J66" s="196"/>
      <c r="K66" s="759">
        <f>K$50</f>
        <v>98.639245751108604</v>
      </c>
      <c r="L66" s="759">
        <f>L$50</f>
        <v>61.03651201934116</v>
      </c>
      <c r="M66" s="759">
        <f>SUM(K66:L66)</f>
        <v>159.67575777044976</v>
      </c>
      <c r="N66" s="759">
        <f>M66-H66</f>
        <v>0</v>
      </c>
    </row>
    <row r="67" spans="1:14" ht="12.75" customHeight="1">
      <c r="A67" s="22"/>
      <c r="B67" s="22"/>
      <c r="C67" s="226"/>
      <c r="D67" s="224"/>
      <c r="E67" s="281" t="s">
        <v>297</v>
      </c>
      <c r="F67" s="282"/>
      <c r="G67" s="289" t="s">
        <v>60</v>
      </c>
      <c r="H67" s="794">
        <f xml:space="preserve"> IF(InpC!$F$67=0,IFERROR( $H$64 * H66 / $H$65, 0),H204)</f>
        <v>28.368434114713196</v>
      </c>
      <c r="J67" s="196"/>
      <c r="K67" s="759">
        <f>IFERROR( K64 * K66 / K65, 0)</f>
        <v>19.884459539252159</v>
      </c>
      <c r="L67" s="759">
        <f>IFERROR( L64 * L66 / L65, 0)</f>
        <v>8.4839745754610423</v>
      </c>
      <c r="M67" s="759">
        <f>SUM(K67:L67)</f>
        <v>28.368434114713203</v>
      </c>
      <c r="N67" s="759">
        <f>M67-H67</f>
        <v>0</v>
      </c>
    </row>
    <row r="68" spans="1:14" ht="12.75" customHeight="1">
      <c r="A68" s="22"/>
      <c r="B68" s="22"/>
      <c r="C68" s="226"/>
      <c r="D68" s="224"/>
      <c r="E68" s="281"/>
      <c r="F68" s="282"/>
      <c r="G68" s="282"/>
      <c r="H68" s="283"/>
      <c r="J68" s="196"/>
    </row>
    <row r="69" spans="1:14" ht="12.75" customHeight="1">
      <c r="A69" s="22"/>
      <c r="B69" s="22"/>
      <c r="C69" s="226"/>
      <c r="D69" s="224"/>
      <c r="E69" s="281" t="str">
        <f>E$45</f>
        <v>Change due to changes in the components of wholesale allowed revenue (per customer)</v>
      </c>
      <c r="F69" s="282">
        <f t="shared" ref="F69:H69" si="21">F$45</f>
        <v>0</v>
      </c>
      <c r="G69" s="282" t="str">
        <f t="shared" si="21"/>
        <v>£</v>
      </c>
      <c r="H69" s="284">
        <f t="shared" si="21"/>
        <v>21.336265950350452</v>
      </c>
      <c r="J69" s="196"/>
      <c r="K69" s="759">
        <f t="shared" ref="K69:L69" si="22">K$45</f>
        <v>18.950822147799936</v>
      </c>
      <c r="L69" s="759">
        <f t="shared" si="22"/>
        <v>2.3854438662989503</v>
      </c>
      <c r="M69" s="759">
        <f>SUM(K69:L69)</f>
        <v>21.336266014098886</v>
      </c>
      <c r="N69" s="759">
        <f>M69-H69</f>
        <v>6.3748434087074202E-8</v>
      </c>
    </row>
    <row r="70" spans="1:14" ht="12.75" customHeight="1">
      <c r="A70" s="22"/>
      <c r="B70" s="22"/>
      <c r="C70" s="226"/>
      <c r="D70" s="224"/>
      <c r="E70" s="281" t="str">
        <f>E$57</f>
        <v>Change due to all wholesale changes except customer numbers</v>
      </c>
      <c r="F70" s="282">
        <f t="shared" ref="F70:H70" si="23">F$57</f>
        <v>0</v>
      </c>
      <c r="G70" s="282" t="str">
        <f t="shared" si="23"/>
        <v>£m</v>
      </c>
      <c r="H70" s="284">
        <f t="shared" si="23"/>
        <v>111.16949567390185</v>
      </c>
      <c r="J70" s="196"/>
      <c r="K70" s="759">
        <f t="shared" ref="K70:L70" si="24">K$57</f>
        <v>94.007825524871805</v>
      </c>
      <c r="L70" s="759">
        <f t="shared" si="24"/>
        <v>17.161670149030037</v>
      </c>
      <c r="M70" s="759">
        <f>SUM(K70:L70)</f>
        <v>111.16949567390185</v>
      </c>
      <c r="N70" s="759">
        <f>M70-H70</f>
        <v>0</v>
      </c>
    </row>
    <row r="71" spans="1:14" ht="12.75" customHeight="1">
      <c r="A71" s="22"/>
      <c r="B71" s="22"/>
      <c r="C71" s="226"/>
      <c r="D71" s="224"/>
      <c r="E71" s="281" t="str">
        <f>E$51</f>
        <v>Change in RCV depreciation due to change in run-off rate</v>
      </c>
      <c r="F71" s="282">
        <f t="shared" ref="F71:H71" si="25">F$51</f>
        <v>0</v>
      </c>
      <c r="G71" s="282" t="str">
        <f t="shared" si="25"/>
        <v>£m</v>
      </c>
      <c r="H71" s="284">
        <f t="shared" si="25"/>
        <v>84.571612304337492</v>
      </c>
      <c r="J71" s="196"/>
      <c r="K71" s="759">
        <f>K$51</f>
        <v>64.90521703302872</v>
      </c>
      <c r="L71" s="759">
        <f>L$51</f>
        <v>19.666395271308772</v>
      </c>
      <c r="M71" s="759">
        <f>SUM(K71:L71)</f>
        <v>84.571612304337492</v>
      </c>
      <c r="N71" s="759">
        <f>M71-H71</f>
        <v>0</v>
      </c>
    </row>
    <row r="72" spans="1:14" ht="12.75" customHeight="1">
      <c r="A72" s="22"/>
      <c r="B72" s="22"/>
      <c r="C72" s="226"/>
      <c r="D72" s="224"/>
      <c r="E72" s="281" t="s">
        <v>573</v>
      </c>
      <c r="F72" s="282"/>
      <c r="G72" s="289" t="s">
        <v>60</v>
      </c>
      <c r="H72" s="794">
        <f xml:space="preserve"> IF(InpC!$F$67=0,IFERROR( $H$69 * H71 / $H$70, 0),H205)</f>
        <v>15.817690514840224</v>
      </c>
      <c r="J72" s="196"/>
      <c r="K72" s="759">
        <f>IFERROR( K69 * K71 / K70, 0)</f>
        <v>13.08409398462107</v>
      </c>
      <c r="L72" s="759">
        <f>IFERROR( L69 * L71 / L70, 0)</f>
        <v>2.7335965302191569</v>
      </c>
      <c r="M72" s="759">
        <f>SUM(K72:L72)</f>
        <v>15.817690514840226</v>
      </c>
      <c r="N72" s="759">
        <f>M72-H72</f>
        <v>0</v>
      </c>
    </row>
    <row r="73" spans="1:14" ht="12.75" customHeight="1">
      <c r="A73" s="22"/>
      <c r="B73" s="22"/>
      <c r="C73" s="226"/>
      <c r="D73" s="224"/>
      <c r="E73" s="281"/>
      <c r="F73" s="282"/>
      <c r="G73" s="289"/>
      <c r="H73" s="85"/>
      <c r="J73" s="196"/>
    </row>
    <row r="74" spans="1:14" ht="12.75" customHeight="1">
      <c r="A74" s="22"/>
      <c r="B74" s="22"/>
      <c r="C74" s="226"/>
      <c r="D74" s="224"/>
      <c r="E74" s="281" t="str">
        <f>E$45</f>
        <v>Change due to changes in the components of wholesale allowed revenue (per customer)</v>
      </c>
      <c r="F74" s="282">
        <f t="shared" ref="F74:H74" si="26">F$45</f>
        <v>0</v>
      </c>
      <c r="G74" s="282" t="str">
        <f t="shared" si="26"/>
        <v>£</v>
      </c>
      <c r="H74" s="284">
        <f t="shared" si="26"/>
        <v>21.336265950350452</v>
      </c>
      <c r="J74" s="196"/>
      <c r="K74" s="759">
        <f t="shared" ref="K74:L74" si="27">K$45</f>
        <v>18.950822147799936</v>
      </c>
      <c r="L74" s="759">
        <f t="shared" si="27"/>
        <v>2.3854438662989503</v>
      </c>
      <c r="M74" s="759">
        <f>SUM(K74:L74)</f>
        <v>21.336266014098886</v>
      </c>
      <c r="N74" s="759">
        <f>M74-H74</f>
        <v>6.3748434087074202E-8</v>
      </c>
    </row>
    <row r="75" spans="1:14" ht="12.75" customHeight="1">
      <c r="A75" s="22"/>
      <c r="B75" s="22"/>
      <c r="C75" s="226"/>
      <c r="D75" s="224"/>
      <c r="E75" s="281" t="str">
        <f>E$57</f>
        <v>Change due to all wholesale changes except customer numbers</v>
      </c>
      <c r="F75" s="282">
        <f t="shared" ref="F75:H75" si="28">F$57</f>
        <v>0</v>
      </c>
      <c r="G75" s="282" t="str">
        <f t="shared" si="28"/>
        <v>£m</v>
      </c>
      <c r="H75" s="284">
        <f t="shared" si="28"/>
        <v>111.16949567390185</v>
      </c>
      <c r="J75" s="196"/>
      <c r="K75" s="759">
        <f t="shared" ref="K75:L75" si="29">K$57</f>
        <v>94.007825524871805</v>
      </c>
      <c r="L75" s="759">
        <f t="shared" si="29"/>
        <v>17.161670149030037</v>
      </c>
      <c r="M75" s="759">
        <f>SUM(K75:L75)</f>
        <v>111.16949567390185</v>
      </c>
      <c r="N75" s="759">
        <f>M75-H75</f>
        <v>0</v>
      </c>
    </row>
    <row r="76" spans="1:14" ht="12.75" customHeight="1">
      <c r="A76" s="22"/>
      <c r="B76" s="22"/>
      <c r="C76" s="226"/>
      <c r="D76" s="224"/>
      <c r="E76" s="281" t="str">
        <f>E$52</f>
        <v>Change in RCV depreciation due to change in RCV</v>
      </c>
      <c r="F76" s="282">
        <f t="shared" ref="F76:H76" si="30">F$52</f>
        <v>0</v>
      </c>
      <c r="G76" s="282" t="str">
        <f t="shared" si="30"/>
        <v>£m</v>
      </c>
      <c r="H76" s="284">
        <f t="shared" si="30"/>
        <v>109.51448758188991</v>
      </c>
      <c r="J76" s="196"/>
      <c r="K76" s="759">
        <f>K$52</f>
        <v>74.638800651440022</v>
      </c>
      <c r="L76" s="759">
        <f>L$52</f>
        <v>34.875686930449888</v>
      </c>
      <c r="M76" s="759">
        <f>SUM(K76:L76)</f>
        <v>109.51448758188991</v>
      </c>
      <c r="N76" s="759">
        <f>M76-H76</f>
        <v>0</v>
      </c>
    </row>
    <row r="77" spans="1:14" ht="12.75" customHeight="1">
      <c r="A77" s="22"/>
      <c r="B77" s="22"/>
      <c r="C77" s="226"/>
      <c r="D77" s="224"/>
      <c r="E77" s="281" t="s">
        <v>146</v>
      </c>
      <c r="F77" s="282"/>
      <c r="G77" s="289" t="s">
        <v>60</v>
      </c>
      <c r="H77" s="794">
        <f xml:space="preserve"> IF(InpC!$F$67=0,IFERROR( $H$74 * H76 / $H$75, 0),H206)</f>
        <v>19.893927807903925</v>
      </c>
      <c r="J77" s="196"/>
      <c r="K77" s="759">
        <f>IFERROR( K74 * K76 / K75, 0)</f>
        <v>15.046264803734941</v>
      </c>
      <c r="L77" s="759">
        <f>IFERROR( L74 * L76 / L75, 0)</f>
        <v>4.8476630041689859</v>
      </c>
      <c r="M77" s="759">
        <f>SUM(K77:L77)</f>
        <v>19.893927807903928</v>
      </c>
      <c r="N77" s="759">
        <f>M77-H77</f>
        <v>0</v>
      </c>
    </row>
    <row r="78" spans="1:14" ht="12.75" customHeight="1">
      <c r="A78" s="22"/>
      <c r="B78" s="22"/>
      <c r="C78" s="226"/>
      <c r="D78" s="224"/>
      <c r="E78" s="281"/>
      <c r="F78" s="282"/>
      <c r="G78" s="289"/>
      <c r="H78" s="284"/>
      <c r="J78" s="196"/>
    </row>
    <row r="79" spans="1:14" ht="12.75" customHeight="1">
      <c r="A79" s="22"/>
      <c r="B79" s="22"/>
      <c r="C79" s="226"/>
      <c r="D79" s="224"/>
      <c r="E79" s="281" t="str">
        <f>E$45</f>
        <v>Change due to changes in the components of wholesale allowed revenue (per customer)</v>
      </c>
      <c r="F79" s="282">
        <f t="shared" ref="F79:H79" si="31">F$45</f>
        <v>0</v>
      </c>
      <c r="G79" s="282" t="str">
        <f t="shared" si="31"/>
        <v>£</v>
      </c>
      <c r="H79" s="284">
        <f t="shared" si="31"/>
        <v>21.336265950350452</v>
      </c>
      <c r="J79" s="196"/>
      <c r="K79" s="759">
        <f t="shared" ref="K79:L79" si="32">K$45</f>
        <v>18.950822147799936</v>
      </c>
      <c r="L79" s="759">
        <f t="shared" si="32"/>
        <v>2.3854438662989503</v>
      </c>
      <c r="M79" s="759">
        <f>SUM(K79:L79)</f>
        <v>21.336266014098886</v>
      </c>
      <c r="N79" s="759">
        <f>M79-H79</f>
        <v>6.3748434087074202E-8</v>
      </c>
    </row>
    <row r="80" spans="1:14" ht="12.75" customHeight="1">
      <c r="A80" s="22"/>
      <c r="B80" s="22"/>
      <c r="C80" s="226"/>
      <c r="D80" s="224"/>
      <c r="E80" s="281" t="str">
        <f>E$57</f>
        <v>Change due to all wholesale changes except customer numbers</v>
      </c>
      <c r="F80" s="282">
        <f t="shared" ref="F80:H80" si="33">F$57</f>
        <v>0</v>
      </c>
      <c r="G80" s="282" t="str">
        <f t="shared" si="33"/>
        <v>£m</v>
      </c>
      <c r="H80" s="284">
        <f t="shared" si="33"/>
        <v>111.16949567390185</v>
      </c>
      <c r="J80" s="196"/>
      <c r="K80" s="759">
        <f t="shared" ref="K80:L80" si="34">K$57</f>
        <v>94.007825524871805</v>
      </c>
      <c r="L80" s="759">
        <f t="shared" si="34"/>
        <v>17.161670149030037</v>
      </c>
      <c r="M80" s="759">
        <f>SUM(K80:L80)</f>
        <v>111.16949567390185</v>
      </c>
      <c r="N80" s="759">
        <f>M80-H80</f>
        <v>0</v>
      </c>
    </row>
    <row r="81" spans="1:14" ht="12.75" customHeight="1">
      <c r="A81" s="22"/>
      <c r="B81" s="22"/>
      <c r="C81" s="226"/>
      <c r="D81" s="224"/>
      <c r="E81" s="281" t="str">
        <f>E$53</f>
        <v>Change in return on RCV due to change in WACC</v>
      </c>
      <c r="F81" s="282">
        <f t="shared" ref="F81:H81" si="35">F$53</f>
        <v>0</v>
      </c>
      <c r="G81" s="282" t="str">
        <f t="shared" si="35"/>
        <v>£m</v>
      </c>
      <c r="H81" s="284">
        <f t="shared" si="35"/>
        <v>-82.876182276628015</v>
      </c>
      <c r="J81" s="196"/>
      <c r="K81" s="759">
        <f>K$53</f>
        <v>-38.389645853109897</v>
      </c>
      <c r="L81" s="759">
        <f>L$53</f>
        <v>-44.486536423518118</v>
      </c>
      <c r="M81" s="759">
        <f>SUM(K81:L81)</f>
        <v>-82.876182276628015</v>
      </c>
      <c r="N81" s="759">
        <f>M81-H81</f>
        <v>0</v>
      </c>
    </row>
    <row r="82" spans="1:14" ht="12.75" customHeight="1">
      <c r="A82" s="22"/>
      <c r="B82" s="22"/>
      <c r="C82" s="226"/>
      <c r="D82" s="224"/>
      <c r="E82" s="281" t="s">
        <v>296</v>
      </c>
      <c r="F82" s="282"/>
      <c r="G82" s="289" t="s">
        <v>60</v>
      </c>
      <c r="H82" s="784">
        <f xml:space="preserve"> IF(InpC!$F$67=0,IFERROR( $H$79 * H81 / $H$80, 0),H207)</f>
        <v>-13.92243598939918</v>
      </c>
      <c r="J82" s="196"/>
      <c r="K82" s="759">
        <f>IFERROR( K79 * K81 / K80, 0)</f>
        <v>-7.7388807454846518</v>
      </c>
      <c r="L82" s="759">
        <f>IFERROR( L79 * L81 / L80, 0)</f>
        <v>-6.1835552439145305</v>
      </c>
      <c r="M82" s="759">
        <f>SUM(K82:L82)</f>
        <v>-13.922435989399183</v>
      </c>
      <c r="N82" s="759">
        <f>M82-H82</f>
        <v>0</v>
      </c>
    </row>
    <row r="83" spans="1:14" ht="12.75" customHeight="1">
      <c r="A83" s="22"/>
      <c r="B83" s="22"/>
      <c r="C83" s="226"/>
      <c r="D83" s="224"/>
      <c r="E83" s="281"/>
      <c r="F83" s="282"/>
      <c r="G83" s="289"/>
      <c r="H83" s="284"/>
      <c r="J83" s="196"/>
    </row>
    <row r="84" spans="1:14" ht="12.75" customHeight="1">
      <c r="A84" s="22"/>
      <c r="B84" s="22"/>
      <c r="C84" s="226"/>
      <c r="D84" s="224"/>
      <c r="E84" s="281" t="str">
        <f>E$45</f>
        <v>Change due to changes in the components of wholesale allowed revenue (per customer)</v>
      </c>
      <c r="F84" s="282">
        <f t="shared" ref="F84:H84" si="36">F$45</f>
        <v>0</v>
      </c>
      <c r="G84" s="282" t="str">
        <f t="shared" si="36"/>
        <v>£</v>
      </c>
      <c r="H84" s="284">
        <f t="shared" si="36"/>
        <v>21.336265950350452</v>
      </c>
      <c r="J84" s="196"/>
      <c r="K84" s="759">
        <f t="shared" ref="K84:L84" si="37">K$45</f>
        <v>18.950822147799936</v>
      </c>
      <c r="L84" s="759">
        <f t="shared" si="37"/>
        <v>2.3854438662989503</v>
      </c>
      <c r="M84" s="759">
        <f>SUM(K84:L84)</f>
        <v>21.336266014098886</v>
      </c>
      <c r="N84" s="759">
        <f>M84-H84</f>
        <v>6.3748434087074202E-8</v>
      </c>
    </row>
    <row r="85" spans="1:14" ht="12.75" customHeight="1">
      <c r="A85" s="22"/>
      <c r="B85" s="22"/>
      <c r="C85" s="226"/>
      <c r="D85" s="224"/>
      <c r="E85" s="281" t="str">
        <f>E$57</f>
        <v>Change due to all wholesale changes except customer numbers</v>
      </c>
      <c r="F85" s="282">
        <f t="shared" ref="F85:H85" si="38">F$57</f>
        <v>0</v>
      </c>
      <c r="G85" s="282" t="str">
        <f t="shared" si="38"/>
        <v>£m</v>
      </c>
      <c r="H85" s="85">
        <f t="shared" si="38"/>
        <v>111.16949567390185</v>
      </c>
      <c r="J85" s="196"/>
      <c r="K85" s="759">
        <f t="shared" ref="K85:L85" si="39">K$57</f>
        <v>94.007825524871805</v>
      </c>
      <c r="L85" s="759">
        <f t="shared" si="39"/>
        <v>17.161670149030037</v>
      </c>
      <c r="M85" s="759">
        <f>SUM(K85:L85)</f>
        <v>111.16949567390185</v>
      </c>
      <c r="N85" s="759">
        <f>M85-H85</f>
        <v>0</v>
      </c>
    </row>
    <row r="86" spans="1:14" ht="12.75" customHeight="1">
      <c r="A86" s="22"/>
      <c r="B86" s="22"/>
      <c r="C86" s="226"/>
      <c r="D86" s="224"/>
      <c r="E86" s="281" t="str">
        <f>E$54</f>
        <v>Change in return on RCV due to change in RCV</v>
      </c>
      <c r="F86" s="282">
        <f t="shared" ref="F86:H86" si="40">F$54</f>
        <v>0</v>
      </c>
      <c r="G86" s="282" t="str">
        <f t="shared" si="40"/>
        <v>£m</v>
      </c>
      <c r="H86" s="85">
        <f t="shared" si="40"/>
        <v>75.34767666005331</v>
      </c>
      <c r="J86" s="196"/>
      <c r="K86" s="759">
        <f>K$54</f>
        <v>51.988898921537356</v>
      </c>
      <c r="L86" s="759">
        <f>L$54</f>
        <v>23.358777738515954</v>
      </c>
      <c r="M86" s="759">
        <f>SUM(K86:L86)</f>
        <v>75.34767666005331</v>
      </c>
      <c r="N86" s="759">
        <f>M86-H86</f>
        <v>0</v>
      </c>
    </row>
    <row r="87" spans="1:14" ht="12.75" customHeight="1">
      <c r="A87" s="22"/>
      <c r="B87" s="22"/>
      <c r="C87" s="226"/>
      <c r="D87" s="224"/>
      <c r="E87" s="281" t="s">
        <v>574</v>
      </c>
      <c r="F87" s="282"/>
      <c r="G87" s="289" t="s">
        <v>60</v>
      </c>
      <c r="H87" s="784">
        <f xml:space="preserve"> IF(InpC!$F$67=0,IFERROR( $H$84 * H86 / $H$85, 0),H208)</f>
        <v>13.727154619321974</v>
      </c>
      <c r="J87" s="196"/>
      <c r="K87" s="759">
        <f>IFERROR( K84 * K86 / K85, 0)</f>
        <v>10.480323011634152</v>
      </c>
      <c r="L87" s="759">
        <f>IFERROR( L84 * L86 / L85, 0)</f>
        <v>3.2468316076878248</v>
      </c>
      <c r="M87" s="759">
        <f>SUM(K87:L87)</f>
        <v>13.727154619321976</v>
      </c>
      <c r="N87" s="759">
        <f>M87-H87</f>
        <v>0</v>
      </c>
    </row>
    <row r="88" spans="1:14" ht="12.75" customHeight="1">
      <c r="A88" s="22"/>
      <c r="B88" s="22"/>
      <c r="C88" s="226"/>
      <c r="D88" s="224"/>
      <c r="E88" s="281"/>
      <c r="F88" s="282"/>
      <c r="G88" s="289"/>
      <c r="H88" s="284"/>
      <c r="J88" s="196"/>
    </row>
    <row r="89" spans="1:14" s="57" customFormat="1" ht="12.75" customHeight="1">
      <c r="A89" s="176"/>
      <c r="B89" s="176"/>
      <c r="C89" s="287"/>
      <c r="D89" s="288"/>
      <c r="E89" s="281" t="str">
        <f>E$77</f>
        <v>Change in RCV depreciation due to change in RCV (per customer)</v>
      </c>
      <c r="F89" s="282">
        <f t="shared" ref="F89:H89" si="41">F$77</f>
        <v>0</v>
      </c>
      <c r="G89" s="282" t="str">
        <f t="shared" si="41"/>
        <v>£</v>
      </c>
      <c r="H89" s="284">
        <f t="shared" si="41"/>
        <v>19.893927807903925</v>
      </c>
    </row>
    <row r="90" spans="1:14" s="57" customFormat="1" ht="12.75" customHeight="1">
      <c r="A90" s="176"/>
      <c r="B90" s="176"/>
      <c r="C90" s="287"/>
      <c r="D90" s="288"/>
      <c r="E90" s="281" t="str">
        <f>E$87</f>
        <v>Change in Return on RCV due to change in RCV (per customer)</v>
      </c>
      <c r="F90" s="282">
        <f t="shared" ref="F90:H90" si="42">F$87</f>
        <v>0</v>
      </c>
      <c r="G90" s="282" t="str">
        <f t="shared" si="42"/>
        <v>£</v>
      </c>
      <c r="H90" s="284">
        <f t="shared" si="42"/>
        <v>13.727154619321974</v>
      </c>
    </row>
    <row r="91" spans="1:14" s="57" customFormat="1" ht="12.75" customHeight="1">
      <c r="A91" s="176"/>
      <c r="B91" s="176"/>
      <c r="C91" s="287"/>
      <c r="D91" s="288"/>
      <c r="E91" s="421" t="s">
        <v>295</v>
      </c>
      <c r="F91" s="422"/>
      <c r="G91" s="422" t="s">
        <v>60</v>
      </c>
      <c r="H91" s="602">
        <f>SUM(H89:H90)</f>
        <v>33.6210824272259</v>
      </c>
    </row>
    <row r="92" spans="1:14" ht="12.75" customHeight="1">
      <c r="A92" s="22"/>
      <c r="B92" s="22"/>
      <c r="C92" s="226"/>
      <c r="D92" s="224"/>
      <c r="E92" s="281"/>
      <c r="F92" s="282"/>
      <c r="G92" s="289"/>
      <c r="H92" s="85"/>
      <c r="J92" s="196"/>
    </row>
    <row r="93" spans="1:14" ht="12.75" customHeight="1">
      <c r="A93" s="22"/>
      <c r="B93" s="22"/>
      <c r="C93" s="226"/>
      <c r="D93" s="224"/>
      <c r="E93" s="281" t="str">
        <f>E$45</f>
        <v>Change due to changes in the components of wholesale allowed revenue (per customer)</v>
      </c>
      <c r="F93" s="282">
        <f t="shared" ref="F93:H93" si="43">F$45</f>
        <v>0</v>
      </c>
      <c r="G93" s="282" t="str">
        <f t="shared" si="43"/>
        <v>£</v>
      </c>
      <c r="H93" s="85">
        <f t="shared" si="43"/>
        <v>21.336265950350452</v>
      </c>
      <c r="J93" s="196"/>
      <c r="K93" s="759">
        <f t="shared" ref="K93:L93" si="44">K$45</f>
        <v>18.950822147799936</v>
      </c>
      <c r="L93" s="759">
        <f t="shared" si="44"/>
        <v>2.3854438662989503</v>
      </c>
      <c r="M93" s="759">
        <f>SUM(K93:L93)</f>
        <v>21.336266014098886</v>
      </c>
      <c r="N93" s="759">
        <f>M93-H93</f>
        <v>6.3748434087074202E-8</v>
      </c>
    </row>
    <row r="94" spans="1:14" ht="12.75" customHeight="1">
      <c r="A94" s="22"/>
      <c r="B94" s="22"/>
      <c r="C94" s="226"/>
      <c r="D94" s="224"/>
      <c r="E94" s="281" t="str">
        <f>E$57</f>
        <v>Change due to all wholesale changes except customer numbers</v>
      </c>
      <c r="F94" s="282">
        <f t="shared" ref="F94:H94" si="45">F$57</f>
        <v>0</v>
      </c>
      <c r="G94" s="282" t="str">
        <f t="shared" si="45"/>
        <v>£m</v>
      </c>
      <c r="H94" s="284">
        <f t="shared" si="45"/>
        <v>111.16949567390185</v>
      </c>
      <c r="J94" s="196"/>
      <c r="K94" s="759">
        <f t="shared" ref="K94:L94" si="46">K$57</f>
        <v>94.007825524871805</v>
      </c>
      <c r="L94" s="759">
        <f t="shared" si="46"/>
        <v>17.161670149030037</v>
      </c>
      <c r="M94" s="759">
        <f>SUM(K94:L94)</f>
        <v>111.16949567390185</v>
      </c>
      <c r="N94" s="759">
        <f>M94-H94</f>
        <v>0</v>
      </c>
    </row>
    <row r="95" spans="1:14" ht="12.75" customHeight="1">
      <c r="A95" s="22"/>
      <c r="B95" s="22"/>
      <c r="C95" s="226"/>
      <c r="D95" s="224"/>
      <c r="E95" s="281" t="str">
        <f>E$55</f>
        <v>Change in other wholesale items</v>
      </c>
      <c r="F95" s="282">
        <f t="shared" ref="F95:H95" si="47">F$55</f>
        <v>0</v>
      </c>
      <c r="G95" s="282" t="str">
        <f t="shared" si="47"/>
        <v>£m</v>
      </c>
      <c r="H95" s="85">
        <f t="shared" si="47"/>
        <v>-11.660829351844528</v>
      </c>
      <c r="J95" s="196"/>
      <c r="K95" s="759">
        <f>K$55</f>
        <v>-12.575598875460372</v>
      </c>
      <c r="L95" s="759">
        <f t="shared" ref="L95" si="48">L$55</f>
        <v>0.91476952361584241</v>
      </c>
      <c r="M95" s="759">
        <f>SUM(K95:L95)</f>
        <v>-11.66082935184453</v>
      </c>
      <c r="N95" s="759">
        <f>M95-H95</f>
        <v>0</v>
      </c>
    </row>
    <row r="96" spans="1:14" ht="12.75" customHeight="1">
      <c r="A96" s="22"/>
      <c r="B96" s="22"/>
      <c r="C96" s="226"/>
      <c r="D96" s="224"/>
      <c r="E96" s="281" t="s">
        <v>575</v>
      </c>
      <c r="F96" s="282"/>
      <c r="G96" s="341" t="s">
        <v>60</v>
      </c>
      <c r="H96" s="794">
        <f xml:space="preserve"> IF(InpC!$F$67=0,IFERROR( $H$93 * H95 / $H$94, 0),H209)</f>
        <v>-2.407934706747386</v>
      </c>
      <c r="J96" s="196"/>
      <c r="K96" s="759">
        <f>IFERROR( K93 * K95 / K94, 0)</f>
        <v>-2.53508616288407</v>
      </c>
      <c r="L96" s="759">
        <f>IFERROR( L93 * L95 / L94, 0)</f>
        <v>0.12715145613668355</v>
      </c>
      <c r="M96" s="759">
        <f>SUM(K96:L96)</f>
        <v>-2.4079347067473864</v>
      </c>
      <c r="N96" s="759">
        <f>M96-H96</f>
        <v>0</v>
      </c>
    </row>
    <row r="97" spans="1:14" ht="12.75" customHeight="1">
      <c r="A97" s="22"/>
      <c r="B97" s="22"/>
      <c r="C97" s="226"/>
      <c r="D97" s="224"/>
      <c r="E97" s="281"/>
      <c r="F97" s="282"/>
      <c r="G97" s="341"/>
      <c r="H97" s="85"/>
      <c r="J97" s="196"/>
    </row>
    <row r="98" spans="1:14" ht="12.75" customHeight="1">
      <c r="A98" s="22"/>
      <c r="B98" s="22"/>
      <c r="C98" s="226"/>
      <c r="D98" s="224"/>
      <c r="E98" s="281" t="str">
        <f>E$45</f>
        <v>Change due to changes in the components of wholesale allowed revenue (per customer)</v>
      </c>
      <c r="F98" s="282">
        <f t="shared" ref="F98:H98" si="49">F$45</f>
        <v>0</v>
      </c>
      <c r="G98" s="282" t="str">
        <f t="shared" si="49"/>
        <v>£</v>
      </c>
      <c r="H98" s="284">
        <f t="shared" si="49"/>
        <v>21.336265950350452</v>
      </c>
      <c r="J98" s="196"/>
      <c r="K98" s="759">
        <f t="shared" ref="K98:L98" si="50">K$45</f>
        <v>18.950822147799936</v>
      </c>
      <c r="L98" s="759">
        <f t="shared" si="50"/>
        <v>2.3854438662989503</v>
      </c>
      <c r="M98" s="759">
        <f>SUM(K98:L98)</f>
        <v>21.336266014098886</v>
      </c>
      <c r="N98" s="759">
        <f>M98-H98</f>
        <v>6.3748434087074202E-8</v>
      </c>
    </row>
    <row r="99" spans="1:14" ht="12.75" customHeight="1">
      <c r="A99" s="22"/>
      <c r="B99" s="22"/>
      <c r="C99" s="226"/>
      <c r="D99" s="224"/>
      <c r="E99" s="281" t="str">
        <f>E$57</f>
        <v>Change due to all wholesale changes except customer numbers</v>
      </c>
      <c r="F99" s="282">
        <f t="shared" ref="F99:H99" si="51">F$57</f>
        <v>0</v>
      </c>
      <c r="G99" s="282" t="str">
        <f t="shared" si="51"/>
        <v>£m</v>
      </c>
      <c r="H99" s="284">
        <f t="shared" si="51"/>
        <v>111.16949567390185</v>
      </c>
      <c r="J99" s="196"/>
      <c r="K99" s="759">
        <f t="shared" ref="K99:L99" si="52">K$57</f>
        <v>94.007825524871805</v>
      </c>
      <c r="L99" s="759">
        <f t="shared" si="52"/>
        <v>17.161670149030037</v>
      </c>
      <c r="M99" s="759">
        <f>SUM(K99:L99)</f>
        <v>111.16949567390185</v>
      </c>
      <c r="N99" s="759">
        <f>M99-H99</f>
        <v>0</v>
      </c>
    </row>
    <row r="100" spans="1:14" ht="12.75" customHeight="1">
      <c r="A100" s="22"/>
      <c r="B100" s="22"/>
      <c r="C100" s="226"/>
      <c r="D100" s="224"/>
      <c r="E100" s="281" t="str">
        <f>E$56</f>
        <v>Change in wholesale reconciliation items</v>
      </c>
      <c r="F100" s="282">
        <f t="shared" ref="F100:H100" si="53">F$56</f>
        <v>0</v>
      </c>
      <c r="G100" s="282" t="str">
        <f t="shared" si="53"/>
        <v>£m</v>
      </c>
      <c r="H100" s="284">
        <f t="shared" si="53"/>
        <v>9.6223721377527447</v>
      </c>
      <c r="J100" s="196"/>
      <c r="K100" s="759">
        <f>K$56</f>
        <v>-1.3811549133659993</v>
      </c>
      <c r="L100" s="759">
        <f>L$56</f>
        <v>11.003527051118748</v>
      </c>
      <c r="M100" s="759">
        <f>SUM(K100:L100)</f>
        <v>9.6223721377527482</v>
      </c>
      <c r="N100" s="759">
        <f>M100-H100</f>
        <v>0</v>
      </c>
    </row>
    <row r="101" spans="1:14" ht="12.75" customHeight="1">
      <c r="A101" s="22"/>
      <c r="B101" s="22"/>
      <c r="C101" s="226"/>
      <c r="D101" s="224"/>
      <c r="E101" s="281" t="s">
        <v>576</v>
      </c>
      <c r="F101" s="282"/>
      <c r="G101" s="341" t="s">
        <v>60</v>
      </c>
      <c r="H101" s="794">
        <f xml:space="preserve"> IF(InpC!$F$67=0,IFERROR( $H$98 * H100 / $H$99,0),H210)</f>
        <v>1.2510482706703037</v>
      </c>
      <c r="J101" s="196"/>
      <c r="K101" s="759">
        <f>IFERROR( K98 * K100 / K99, 0)</f>
        <v>-0.27842385435065914</v>
      </c>
      <c r="L101" s="759">
        <f>IFERROR( L98 * L100 / L99, 0)</f>
        <v>1.5294721250209629</v>
      </c>
      <c r="M101" s="759">
        <f>SUM(K101:L101)</f>
        <v>1.2510482706703037</v>
      </c>
      <c r="N101" s="759">
        <f>M101-H101</f>
        <v>0</v>
      </c>
    </row>
    <row r="102" spans="1:14" ht="12.75" customHeight="1">
      <c r="A102" s="22"/>
      <c r="B102" s="22"/>
      <c r="C102" s="226"/>
      <c r="D102" s="224"/>
      <c r="E102" s="281"/>
      <c r="F102" s="282"/>
      <c r="G102" s="289"/>
      <c r="H102" s="85"/>
      <c r="J102" s="196"/>
    </row>
    <row r="103" spans="1:14" ht="12.75" customHeight="1">
      <c r="A103" s="22"/>
      <c r="B103" s="22"/>
      <c r="C103" s="226"/>
      <c r="D103" s="224"/>
      <c r="E103" s="284" t="str">
        <f>E$101</f>
        <v>Change in Wholesale reconciliations items (per customer)</v>
      </c>
      <c r="F103" s="282">
        <f t="shared" ref="F103:H103" si="54">F$101</f>
        <v>0</v>
      </c>
      <c r="G103" s="282" t="str">
        <f t="shared" si="54"/>
        <v>£</v>
      </c>
      <c r="H103" s="284">
        <f t="shared" si="54"/>
        <v>1.2510482706703037</v>
      </c>
      <c r="J103" s="196"/>
    </row>
    <row r="104" spans="1:14" s="782" customFormat="1" ht="12.75" customHeight="1">
      <c r="A104" s="776"/>
      <c r="B104" s="776"/>
      <c r="C104" s="777"/>
      <c r="D104" s="778"/>
      <c r="E104" s="784"/>
      <c r="F104" s="785"/>
      <c r="G104" s="785"/>
      <c r="H104" s="784"/>
      <c r="J104" s="783"/>
    </row>
    <row r="105" spans="1:14" ht="12.75" customHeight="1">
      <c r="A105" s="22">
        <f>H103</f>
        <v>1.2510482706703037</v>
      </c>
      <c r="B105" s="22"/>
      <c r="C105" s="226"/>
      <c r="D105" s="281"/>
      <c r="E105" s="284" t="s">
        <v>576</v>
      </c>
      <c r="F105" s="587"/>
      <c r="G105" s="587" t="s">
        <v>60</v>
      </c>
      <c r="H105" s="587">
        <f>H103</f>
        <v>1.2510482706703037</v>
      </c>
      <c r="J105" s="196"/>
    </row>
    <row r="106" spans="1:14" ht="12.75" customHeight="1">
      <c r="A106" s="22"/>
      <c r="B106" s="22"/>
      <c r="C106" s="226"/>
      <c r="D106" s="281"/>
      <c r="E106" s="281"/>
      <c r="F106" s="281"/>
      <c r="G106" s="281"/>
      <c r="H106" s="281"/>
      <c r="J106" s="196"/>
    </row>
    <row r="107" spans="1:14" ht="12.75" customHeight="1">
      <c r="A107" s="22"/>
      <c r="B107" s="22"/>
      <c r="C107" s="226"/>
      <c r="D107" s="281"/>
      <c r="E107" s="281" t="str">
        <f t="shared" ref="E107:H107" si="55">E$44</f>
        <v>Change in wholesale dummy control allowed revenue</v>
      </c>
      <c r="F107" s="282">
        <f t="shared" si="55"/>
        <v>0</v>
      </c>
      <c r="G107" s="282" t="str">
        <f t="shared" si="55"/>
        <v>£</v>
      </c>
      <c r="H107" s="284">
        <f t="shared" si="55"/>
        <v>-16.084255388824719</v>
      </c>
      <c r="J107" s="196"/>
    </row>
    <row r="108" spans="1:14" s="57" customFormat="1" ht="12.75" customHeight="1">
      <c r="A108" s="698"/>
      <c r="B108" s="698"/>
      <c r="C108" s="699"/>
      <c r="D108" s="572"/>
      <c r="E108" s="572" t="s">
        <v>609</v>
      </c>
      <c r="F108" s="571"/>
      <c r="G108" s="571" t="s">
        <v>60</v>
      </c>
      <c r="H108" s="700">
        <f>H107</f>
        <v>-16.084255388824719</v>
      </c>
      <c r="J108" s="701"/>
    </row>
    <row r="109" spans="1:14" ht="12.75" customHeight="1">
      <c r="A109" s="22"/>
      <c r="B109" s="22"/>
      <c r="C109" s="226"/>
      <c r="D109" s="281"/>
      <c r="E109" s="281"/>
      <c r="F109" s="281"/>
      <c r="G109" s="281"/>
      <c r="H109" s="281"/>
      <c r="J109" s="196"/>
    </row>
    <row r="110" spans="1:14">
      <c r="E110" s="291" t="str">
        <f>LEFT(E91, LEN(E91) - 15)</f>
        <v>Change in RCV</v>
      </c>
      <c r="F110" s="56">
        <f>F91</f>
        <v>0</v>
      </c>
      <c r="G110" s="56" t="str">
        <f>G91</f>
        <v>£</v>
      </c>
      <c r="H110" s="64">
        <f>H91</f>
        <v>33.6210824272259</v>
      </c>
    </row>
    <row r="111" spans="1:14" s="57" customFormat="1" ht="12.75" customHeight="1">
      <c r="A111" s="176"/>
      <c r="B111" s="176"/>
      <c r="C111" s="287"/>
      <c r="D111" s="288"/>
      <c r="E111" s="291" t="str">
        <f>LEFT(E67, LEN(E67) - 15)</f>
        <v>Change in Totex</v>
      </c>
      <c r="F111" s="571">
        <f>F67</f>
        <v>0</v>
      </c>
      <c r="G111" s="571" t="str">
        <f>G67</f>
        <v>£</v>
      </c>
      <c r="H111" s="93">
        <f>H67</f>
        <v>28.368434114713196</v>
      </c>
      <c r="I111" s="179"/>
    </row>
    <row r="112" spans="1:14" s="57" customFormat="1" ht="12.75" customHeight="1">
      <c r="A112" s="176"/>
      <c r="B112" s="177"/>
      <c r="C112" s="178"/>
      <c r="D112" s="140"/>
      <c r="E112" s="291" t="str">
        <f>LEFT(E62, LEN(E62) - 15)</f>
        <v>Change in PAYG%</v>
      </c>
      <c r="F112" s="571">
        <f>F62</f>
        <v>0</v>
      </c>
      <c r="G112" s="571" t="str">
        <f>G62</f>
        <v>£</v>
      </c>
      <c r="H112" s="93">
        <f>H62</f>
        <v>-41.391618617204166</v>
      </c>
      <c r="I112" s="179"/>
    </row>
    <row r="113" spans="1:10" s="57" customFormat="1" ht="12.75" customHeight="1">
      <c r="A113" s="176"/>
      <c r="B113" s="176"/>
      <c r="C113" s="287"/>
      <c r="D113" s="288"/>
      <c r="E113" s="291" t="str">
        <f>LEFT(E72, LEN(E72) - 15)</f>
        <v>Change in Run-off rate</v>
      </c>
      <c r="F113" s="571">
        <f>F72</f>
        <v>0</v>
      </c>
      <c r="G113" s="571" t="str">
        <f>G72</f>
        <v>£</v>
      </c>
      <c r="H113" s="93">
        <f>H72</f>
        <v>15.817690514840224</v>
      </c>
      <c r="I113" s="179"/>
    </row>
    <row r="114" spans="1:10" s="57" customFormat="1" ht="12.75" customHeight="1">
      <c r="A114" s="176"/>
      <c r="B114" s="176"/>
      <c r="C114" s="287"/>
      <c r="D114" s="288"/>
      <c r="E114" s="291" t="str">
        <f>LEFT(E82, LEN(E82) - 15)</f>
        <v>Change in WACC</v>
      </c>
      <c r="F114" s="571">
        <f>F82</f>
        <v>0</v>
      </c>
      <c r="G114" s="571" t="str">
        <f>G82</f>
        <v>£</v>
      </c>
      <c r="H114" s="93">
        <f>H82</f>
        <v>-13.92243598939918</v>
      </c>
      <c r="I114" s="45"/>
    </row>
    <row r="115" spans="1:10" s="57" customFormat="1" ht="12.75" customHeight="1">
      <c r="A115" s="176"/>
      <c r="B115" s="176"/>
      <c r="C115" s="287"/>
      <c r="D115" s="288"/>
      <c r="E115" s="572" t="str">
        <f>LEFT(E96, LEN(E96) - 15)</f>
        <v>Change in Other wholesale items</v>
      </c>
      <c r="F115" s="571">
        <f>F96</f>
        <v>0</v>
      </c>
      <c r="G115" s="571" t="str">
        <f>G96</f>
        <v>£</v>
      </c>
      <c r="H115" s="93">
        <f>H96</f>
        <v>-2.407934706747386</v>
      </c>
      <c r="I115" s="179"/>
    </row>
    <row r="116" spans="1:10" s="57" customFormat="1" ht="12.75" customHeight="1">
      <c r="A116" s="176"/>
      <c r="B116" s="176"/>
      <c r="C116" s="287"/>
      <c r="D116" s="288"/>
      <c r="E116" s="572" t="str">
        <f>LEFT(E105, LEN(E105) - 15)</f>
        <v>Change in Wholesale reconciliations items</v>
      </c>
      <c r="F116" s="633">
        <f t="shared" ref="F116:H116" si="56">F105</f>
        <v>0</v>
      </c>
      <c r="G116" s="633" t="str">
        <f t="shared" si="56"/>
        <v>£</v>
      </c>
      <c r="H116" s="633">
        <f t="shared" si="56"/>
        <v>1.2510482706703037</v>
      </c>
      <c r="I116" s="179"/>
    </row>
    <row r="117" spans="1:10" s="57" customFormat="1" ht="12.75" customHeight="1">
      <c r="A117" s="176"/>
      <c r="B117" s="176"/>
      <c r="C117" s="287"/>
      <c r="D117" s="288"/>
      <c r="E117" s="419" t="s">
        <v>145</v>
      </c>
      <c r="F117" s="420"/>
      <c r="G117" s="420" t="s">
        <v>60</v>
      </c>
      <c r="H117" s="200">
        <f>SUM(H110:H116)</f>
        <v>21.336266014098889</v>
      </c>
    </row>
    <row r="118" spans="1:10" s="57" customFormat="1" ht="12.75" customHeight="1">
      <c r="A118" s="176"/>
      <c r="B118" s="177"/>
      <c r="C118" s="178"/>
      <c r="D118" s="140"/>
      <c r="E118" s="166"/>
      <c r="F118" s="230"/>
      <c r="G118" s="230"/>
      <c r="H118" s="93"/>
      <c r="I118" s="179"/>
    </row>
    <row r="119" spans="1:10" s="120" customFormat="1" ht="12.75" customHeight="1">
      <c r="A119" s="25"/>
      <c r="B119" s="18"/>
      <c r="C119" s="19"/>
      <c r="D119" s="169"/>
      <c r="E119" s="301" t="str">
        <f>E$117</f>
        <v>Change due to all wholesale changes except customer numbers (per customer)</v>
      </c>
      <c r="F119" s="282">
        <f t="shared" ref="F119:H119" si="57">F$117</f>
        <v>0</v>
      </c>
      <c r="G119" s="282" t="str">
        <f t="shared" si="57"/>
        <v>£</v>
      </c>
      <c r="H119" s="284">
        <f t="shared" si="57"/>
        <v>21.336266014098889</v>
      </c>
      <c r="I119" s="45"/>
      <c r="J119" s="57"/>
    </row>
    <row r="120" spans="1:10" s="57" customFormat="1" ht="12.75" customHeight="1">
      <c r="A120" s="176"/>
      <c r="B120" s="177"/>
      <c r="C120" s="178"/>
      <c r="D120" s="140"/>
      <c r="E120" s="290" t="str">
        <f>E$45</f>
        <v>Change due to changes in the components of wholesale allowed revenue (per customer)</v>
      </c>
      <c r="F120" s="282">
        <f t="shared" ref="F120:H120" si="58">F$45</f>
        <v>0</v>
      </c>
      <c r="G120" s="282" t="str">
        <f t="shared" si="58"/>
        <v>£</v>
      </c>
      <c r="H120" s="284">
        <f t="shared" si="58"/>
        <v>21.336265950350452</v>
      </c>
      <c r="I120" s="179"/>
    </row>
    <row r="121" spans="1:10" s="57" customFormat="1" ht="12.75" customHeight="1">
      <c r="A121" s="290"/>
      <c r="B121" s="290"/>
      <c r="C121" s="290"/>
      <c r="D121" s="290"/>
      <c r="E121" s="290" t="s">
        <v>603</v>
      </c>
      <c r="F121" s="145"/>
      <c r="G121" s="145" t="s">
        <v>351</v>
      </c>
      <c r="H121" s="300">
        <f>IF(ABS( (H120 - H119)  ) &gt;  InpC!$F$10, 1, 0)</f>
        <v>0</v>
      </c>
      <c r="I121" s="290"/>
      <c r="J121" s="290"/>
    </row>
    <row r="122" spans="1:10" s="57" customFormat="1" ht="12.75" customHeight="1">
      <c r="A122" s="176"/>
      <c r="B122" s="177"/>
      <c r="C122" s="178"/>
      <c r="D122" s="140"/>
      <c r="E122" s="166"/>
      <c r="F122" s="230"/>
      <c r="G122" s="230"/>
      <c r="H122" s="93"/>
    </row>
    <row r="123" spans="1:10" s="75" customFormat="1">
      <c r="A123" s="38" t="s">
        <v>6</v>
      </c>
      <c r="B123" s="38"/>
      <c r="C123" s="39"/>
      <c r="D123" s="162"/>
      <c r="E123" s="151"/>
      <c r="F123" s="133"/>
      <c r="G123" s="153"/>
      <c r="H123" s="38"/>
      <c r="I123" s="38"/>
      <c r="J123" s="38"/>
    </row>
    <row r="125" spans="1:10">
      <c r="D125" s="158"/>
      <c r="E125" s="168" t="s">
        <v>710</v>
      </c>
      <c r="F125" s="149"/>
      <c r="G125" s="149"/>
      <c r="H125" s="786"/>
    </row>
    <row r="126" spans="1:10">
      <c r="D126" s="402"/>
      <c r="E126" s="290" t="str">
        <f>E45</f>
        <v>Change due to changes in the components of wholesale allowed revenue (per customer)</v>
      </c>
      <c r="F126" s="295"/>
      <c r="G126" s="295"/>
      <c r="H126" s="787">
        <f>H45</f>
        <v>21.336265950350452</v>
      </c>
    </row>
    <row r="127" spans="1:10">
      <c r="D127" s="158"/>
      <c r="E127" s="290"/>
      <c r="F127" s="295"/>
      <c r="G127" s="295"/>
      <c r="H127" s="787"/>
    </row>
    <row r="128" spans="1:10">
      <c r="D128" s="158"/>
      <c r="E128" s="788" t="s">
        <v>711</v>
      </c>
      <c r="F128" s="295"/>
      <c r="G128" s="295"/>
      <c r="H128" s="787"/>
    </row>
    <row r="129" spans="4:8">
      <c r="D129" s="158"/>
      <c r="E129" s="290" t="str">
        <f t="shared" ref="E129:E137" si="59">E49</f>
        <v>Change in PAYG Totex due to change in PAYG%</v>
      </c>
      <c r="F129" s="295"/>
      <c r="G129" s="295"/>
      <c r="H129" s="787">
        <f t="shared" ref="H129:H137" si="60">H49</f>
        <v>-233.02539915210883</v>
      </c>
    </row>
    <row r="130" spans="4:8">
      <c r="D130" s="158"/>
      <c r="E130" s="290" t="str">
        <f t="shared" si="59"/>
        <v>Change in PAYG Totex due to change in Totex</v>
      </c>
      <c r="F130" s="295"/>
      <c r="G130" s="295"/>
      <c r="H130" s="787">
        <f t="shared" si="60"/>
        <v>159.67575777044976</v>
      </c>
    </row>
    <row r="131" spans="4:8">
      <c r="D131" s="158"/>
      <c r="E131" s="290" t="str">
        <f t="shared" si="59"/>
        <v>Change in RCV depreciation due to change in run-off rate</v>
      </c>
      <c r="F131" s="295"/>
      <c r="G131" s="295"/>
      <c r="H131" s="787">
        <f t="shared" si="60"/>
        <v>84.571612304337492</v>
      </c>
    </row>
    <row r="132" spans="4:8">
      <c r="D132" s="158"/>
      <c r="E132" s="290" t="str">
        <f t="shared" si="59"/>
        <v>Change in RCV depreciation due to change in RCV</v>
      </c>
      <c r="F132" s="295"/>
      <c r="G132" s="295"/>
      <c r="H132" s="787">
        <f t="shared" si="60"/>
        <v>109.51448758188991</v>
      </c>
    </row>
    <row r="133" spans="4:8">
      <c r="D133" s="158"/>
      <c r="E133" s="290" t="str">
        <f t="shared" si="59"/>
        <v>Change in return on RCV due to change in WACC</v>
      </c>
      <c r="F133" s="295"/>
      <c r="G133" s="295"/>
      <c r="H133" s="787">
        <f t="shared" si="60"/>
        <v>-82.876182276628015</v>
      </c>
    </row>
    <row r="134" spans="4:8">
      <c r="D134" s="158"/>
      <c r="E134" s="290" t="str">
        <f t="shared" si="59"/>
        <v>Change in return on RCV due to change in RCV</v>
      </c>
      <c r="F134" s="295"/>
      <c r="G134" s="295"/>
      <c r="H134" s="787">
        <f t="shared" si="60"/>
        <v>75.34767666005331</v>
      </c>
    </row>
    <row r="135" spans="4:8">
      <c r="D135" s="158"/>
      <c r="E135" s="290" t="str">
        <f t="shared" si="59"/>
        <v>Change in other wholesale items</v>
      </c>
      <c r="F135" s="295"/>
      <c r="G135" s="295"/>
      <c r="H135" s="787">
        <f t="shared" si="60"/>
        <v>-11.660829351844528</v>
      </c>
    </row>
    <row r="136" spans="4:8">
      <c r="D136" s="158"/>
      <c r="E136" s="789" t="str">
        <f t="shared" si="59"/>
        <v>Change in wholesale reconciliation items</v>
      </c>
      <c r="F136" s="790"/>
      <c r="G136" s="790"/>
      <c r="H136" s="791">
        <f t="shared" si="60"/>
        <v>9.6223721377527447</v>
      </c>
    </row>
    <row r="137" spans="4:8">
      <c r="D137" s="158"/>
      <c r="E137" s="290" t="str">
        <f t="shared" si="59"/>
        <v>Change due to all wholesale changes except customer numbers</v>
      </c>
      <c r="F137" s="295"/>
      <c r="G137" s="295"/>
      <c r="H137" s="787">
        <f t="shared" si="60"/>
        <v>111.16949567390185</v>
      </c>
    </row>
    <row r="138" spans="4:8">
      <c r="D138" s="158"/>
      <c r="E138" s="290"/>
      <c r="F138" s="295"/>
      <c r="G138" s="295"/>
      <c r="H138" s="787"/>
    </row>
    <row r="139" spans="4:8">
      <c r="D139" s="158"/>
      <c r="E139" s="788" t="s">
        <v>712</v>
      </c>
      <c r="F139" s="295"/>
      <c r="G139" s="295"/>
      <c r="H139" s="787"/>
    </row>
    <row r="140" spans="4:8">
      <c r="D140" s="158"/>
      <c r="E140" s="290" t="str">
        <f>E129</f>
        <v>Change in PAYG Totex due to change in PAYG%</v>
      </c>
      <c r="F140" s="295"/>
      <c r="G140" s="295"/>
      <c r="H140" s="787">
        <f>Totex!H138</f>
        <v>-143.81793719030662</v>
      </c>
    </row>
    <row r="141" spans="4:8">
      <c r="D141" s="158"/>
      <c r="E141" s="290" t="str">
        <f t="shared" ref="E141:E148" si="61">E130</f>
        <v>Change in PAYG Totex due to change in Totex</v>
      </c>
      <c r="F141" s="295"/>
      <c r="G141" s="295"/>
      <c r="H141" s="787">
        <f>Totex!H142</f>
        <v>98.639245751108604</v>
      </c>
    </row>
    <row r="142" spans="4:8">
      <c r="D142" s="158"/>
      <c r="E142" s="290" t="str">
        <f t="shared" si="61"/>
        <v>Change in RCV depreciation due to change in run-off rate</v>
      </c>
      <c r="F142" s="295"/>
      <c r="G142" s="295"/>
      <c r="H142" s="787">
        <f>RCV!H370</f>
        <v>64.90521703302872</v>
      </c>
    </row>
    <row r="143" spans="4:8">
      <c r="D143" s="158"/>
      <c r="E143" s="290" t="str">
        <f t="shared" si="61"/>
        <v>Change in RCV depreciation due to change in RCV</v>
      </c>
      <c r="F143" s="295"/>
      <c r="G143" s="295"/>
      <c r="H143" s="787">
        <f>RCV!H374</f>
        <v>74.638800651440022</v>
      </c>
    </row>
    <row r="144" spans="4:8">
      <c r="D144" s="158"/>
      <c r="E144" s="290" t="str">
        <f t="shared" si="61"/>
        <v>Change in return on RCV due to change in WACC</v>
      </c>
      <c r="F144" s="295"/>
      <c r="G144" s="295"/>
      <c r="H144" s="787">
        <f>RCV!H536</f>
        <v>-38.389645853109897</v>
      </c>
    </row>
    <row r="145" spans="4:8">
      <c r="D145" s="158"/>
      <c r="E145" s="290" t="str">
        <f t="shared" si="61"/>
        <v>Change in return on RCV due to change in RCV</v>
      </c>
      <c r="F145" s="295"/>
      <c r="G145" s="295"/>
      <c r="H145" s="787">
        <f>RCV!H540</f>
        <v>51.988898921537356</v>
      </c>
    </row>
    <row r="146" spans="4:8">
      <c r="D146" s="158"/>
      <c r="E146" s="290" t="str">
        <f t="shared" si="61"/>
        <v>Change in other wholesale items</v>
      </c>
      <c r="F146" s="295"/>
      <c r="G146" s="295"/>
      <c r="H146" s="787">
        <f>Wholesale!H72</f>
        <v>-12.575598875460372</v>
      </c>
    </row>
    <row r="147" spans="4:8">
      <c r="D147" s="158"/>
      <c r="E147" s="789" t="str">
        <f t="shared" si="61"/>
        <v>Change in wholesale reconciliation items</v>
      </c>
      <c r="F147" s="790"/>
      <c r="G147" s="790"/>
      <c r="H147" s="791">
        <f>Reconciliation!H74</f>
        <v>-1.3811549133659993</v>
      </c>
    </row>
    <row r="148" spans="4:8">
      <c r="D148" s="158"/>
      <c r="E148" s="290" t="str">
        <f t="shared" si="61"/>
        <v>Change due to all wholesale changes except customer numbers</v>
      </c>
      <c r="F148" s="149"/>
      <c r="G148" s="149"/>
      <c r="H148" s="787">
        <f>SUM(H140:H147)</f>
        <v>94.007825524871805</v>
      </c>
    </row>
    <row r="149" spans="4:8">
      <c r="D149" s="158"/>
      <c r="E149" s="158"/>
      <c r="F149" s="149"/>
      <c r="G149" s="149"/>
      <c r="H149" s="119"/>
    </row>
    <row r="150" spans="4:8">
      <c r="D150" s="158"/>
      <c r="E150" s="788" t="s">
        <v>713</v>
      </c>
      <c r="F150" s="149"/>
      <c r="G150" s="149"/>
      <c r="H150" s="119"/>
    </row>
    <row r="151" spans="4:8">
      <c r="D151" s="158"/>
      <c r="E151" s="290" t="str">
        <f>E140</f>
        <v>Change in PAYG Totex due to change in PAYG%</v>
      </c>
      <c r="F151" s="149"/>
      <c r="G151" s="149"/>
      <c r="H151" s="787">
        <f>Totex!H139</f>
        <v>-89.20746196180221</v>
      </c>
    </row>
    <row r="152" spans="4:8">
      <c r="D152" s="158"/>
      <c r="E152" s="290" t="str">
        <f t="shared" ref="E152:E159" si="62">E141</f>
        <v>Change in PAYG Totex due to change in Totex</v>
      </c>
      <c r="F152" s="149"/>
      <c r="G152" s="149"/>
      <c r="H152" s="787">
        <f>Totex!H143</f>
        <v>61.03651201934116</v>
      </c>
    </row>
    <row r="153" spans="4:8">
      <c r="D153" s="158"/>
      <c r="E153" s="290" t="str">
        <f t="shared" si="62"/>
        <v>Change in RCV depreciation due to change in run-off rate</v>
      </c>
      <c r="F153" s="149"/>
      <c r="G153" s="149"/>
      <c r="H153" s="787">
        <f>RCV!H371</f>
        <v>19.666395271308772</v>
      </c>
    </row>
    <row r="154" spans="4:8">
      <c r="D154" s="158"/>
      <c r="E154" s="290" t="str">
        <f t="shared" si="62"/>
        <v>Change in RCV depreciation due to change in RCV</v>
      </c>
      <c r="F154" s="149"/>
      <c r="G154" s="149"/>
      <c r="H154" s="787">
        <f>RCV!H375</f>
        <v>34.875686930449888</v>
      </c>
    </row>
    <row r="155" spans="4:8">
      <c r="D155" s="158"/>
      <c r="E155" s="290" t="str">
        <f t="shared" si="62"/>
        <v>Change in return on RCV due to change in WACC</v>
      </c>
      <c r="F155" s="149"/>
      <c r="G155" s="149"/>
      <c r="H155" s="787">
        <f>RCV!H537</f>
        <v>-44.486536423518118</v>
      </c>
    </row>
    <row r="156" spans="4:8">
      <c r="D156" s="158"/>
      <c r="E156" s="290" t="str">
        <f t="shared" si="62"/>
        <v>Change in return on RCV due to change in RCV</v>
      </c>
      <c r="F156" s="149"/>
      <c r="G156" s="149"/>
      <c r="H156" s="787">
        <f>RCV!H541</f>
        <v>23.358777738515954</v>
      </c>
    </row>
    <row r="157" spans="4:8">
      <c r="D157" s="158"/>
      <c r="E157" s="290" t="str">
        <f t="shared" si="62"/>
        <v>Change in other wholesale items</v>
      </c>
      <c r="F157" s="149"/>
      <c r="G157" s="149"/>
      <c r="H157" s="787">
        <f>Wholesale!H77</f>
        <v>0.91476952361584241</v>
      </c>
    </row>
    <row r="158" spans="4:8">
      <c r="D158" s="158"/>
      <c r="E158" s="789" t="str">
        <f t="shared" si="62"/>
        <v>Change in wholesale reconciliation items</v>
      </c>
      <c r="F158" s="774"/>
      <c r="G158" s="774"/>
      <c r="H158" s="791">
        <f>Reconciliation!H79</f>
        <v>11.003527051118748</v>
      </c>
    </row>
    <row r="159" spans="4:8">
      <c r="D159" s="158"/>
      <c r="E159" s="290" t="str">
        <f t="shared" si="62"/>
        <v>Change due to all wholesale changes except customer numbers</v>
      </c>
      <c r="F159" s="149"/>
      <c r="G159" s="149"/>
      <c r="H159" s="787">
        <f>SUM(H151:H158)</f>
        <v>17.161670149030037</v>
      </c>
    </row>
    <row r="160" spans="4:8">
      <c r="D160" s="158"/>
      <c r="E160" s="158"/>
      <c r="F160" s="149"/>
      <c r="G160" s="149"/>
      <c r="H160" s="119"/>
    </row>
    <row r="161" spans="4:8">
      <c r="D161" s="158"/>
      <c r="E161" s="788" t="s">
        <v>714</v>
      </c>
      <c r="F161" s="149"/>
      <c r="G161" s="149"/>
      <c r="H161" s="119"/>
    </row>
    <row r="162" spans="4:8">
      <c r="D162" s="158"/>
      <c r="E162" s="290" t="str">
        <f>E151</f>
        <v>Change in PAYG Totex due to change in PAYG%</v>
      </c>
      <c r="F162" s="149"/>
      <c r="G162" s="149"/>
      <c r="H162" s="787">
        <f>SUM(H140,H151)-H129</f>
        <v>0</v>
      </c>
    </row>
    <row r="163" spans="4:8">
      <c r="D163" s="158"/>
      <c r="E163" s="290" t="str">
        <f t="shared" ref="E163:E170" si="63">E152</f>
        <v>Change in PAYG Totex due to change in Totex</v>
      </c>
      <c r="F163" s="149"/>
      <c r="G163" s="149"/>
      <c r="H163" s="787">
        <f t="shared" ref="H163:H169" si="64">SUM(H141,H152)-H130</f>
        <v>0</v>
      </c>
    </row>
    <row r="164" spans="4:8">
      <c r="D164" s="158"/>
      <c r="E164" s="290" t="str">
        <f t="shared" si="63"/>
        <v>Change in RCV depreciation due to change in run-off rate</v>
      </c>
      <c r="F164" s="149"/>
      <c r="G164" s="149"/>
      <c r="H164" s="787">
        <f t="shared" si="64"/>
        <v>0</v>
      </c>
    </row>
    <row r="165" spans="4:8">
      <c r="D165" s="158"/>
      <c r="E165" s="290" t="str">
        <f t="shared" si="63"/>
        <v>Change in RCV depreciation due to change in RCV</v>
      </c>
      <c r="F165" s="149"/>
      <c r="G165" s="149"/>
      <c r="H165" s="787">
        <f t="shared" si="64"/>
        <v>0</v>
      </c>
    </row>
    <row r="166" spans="4:8">
      <c r="D166" s="158"/>
      <c r="E166" s="290" t="str">
        <f t="shared" si="63"/>
        <v>Change in return on RCV due to change in WACC</v>
      </c>
      <c r="F166" s="149"/>
      <c r="G166" s="149"/>
      <c r="H166" s="787">
        <f t="shared" si="64"/>
        <v>0</v>
      </c>
    </row>
    <row r="167" spans="4:8">
      <c r="D167" s="158"/>
      <c r="E167" s="290" t="str">
        <f t="shared" si="63"/>
        <v>Change in return on RCV due to change in RCV</v>
      </c>
      <c r="F167" s="149"/>
      <c r="G167" s="149"/>
      <c r="H167" s="787">
        <f t="shared" si="64"/>
        <v>0</v>
      </c>
    </row>
    <row r="168" spans="4:8">
      <c r="D168" s="158"/>
      <c r="E168" s="290" t="str">
        <f t="shared" si="63"/>
        <v>Change in other wholesale items</v>
      </c>
      <c r="F168" s="149"/>
      <c r="G168" s="149"/>
      <c r="H168" s="787">
        <f t="shared" si="64"/>
        <v>0</v>
      </c>
    </row>
    <row r="169" spans="4:8">
      <c r="D169" s="158"/>
      <c r="E169" s="789" t="str">
        <f t="shared" si="63"/>
        <v>Change in wholesale reconciliation items</v>
      </c>
      <c r="F169" s="774"/>
      <c r="G169" s="774"/>
      <c r="H169" s="791">
        <f t="shared" si="64"/>
        <v>0</v>
      </c>
    </row>
    <row r="170" spans="4:8">
      <c r="D170" s="158"/>
      <c r="E170" s="290" t="str">
        <f t="shared" si="63"/>
        <v>Change due to all wholesale changes except customer numbers</v>
      </c>
      <c r="F170" s="149"/>
      <c r="G170" s="149"/>
      <c r="H170" s="787">
        <f>SUM(H162:H169)</f>
        <v>0</v>
      </c>
    </row>
    <row r="171" spans="4:8">
      <c r="D171" s="158"/>
      <c r="E171" s="158"/>
      <c r="F171" s="149"/>
      <c r="G171" s="149"/>
      <c r="H171" s="119"/>
    </row>
    <row r="172" spans="4:8">
      <c r="D172" s="158" t="str">
        <f>Customers!D102</f>
        <v>PR19</v>
      </c>
      <c r="E172" s="158" t="str">
        <f>Customers!E102</f>
        <v>Weighted average residential apportionment - Water</v>
      </c>
      <c r="F172" s="149"/>
      <c r="G172" s="149"/>
      <c r="H172" s="116">
        <f>Customers!H102</f>
        <v>0.75852334457496584</v>
      </c>
    </row>
    <row r="173" spans="4:8">
      <c r="D173" s="158" t="str">
        <f>Customers!D98</f>
        <v>PR19</v>
      </c>
      <c r="E173" s="158" t="str">
        <f>Customers!E98</f>
        <v>Total households - Water</v>
      </c>
      <c r="F173" s="149"/>
      <c r="G173" s="149"/>
      <c r="H173" s="787">
        <f>Customers!H98</f>
        <v>3762.7459999999996</v>
      </c>
    </row>
    <row r="174" spans="4:8">
      <c r="D174" s="158"/>
      <c r="E174" s="158" t="s">
        <v>715</v>
      </c>
      <c r="F174" s="149"/>
      <c r="G174" s="149"/>
      <c r="H174" s="787">
        <f>H172/H173*1000</f>
        <v>0.2015877087039534</v>
      </c>
    </row>
    <row r="175" spans="4:8">
      <c r="D175" s="158"/>
      <c r="E175" s="158"/>
      <c r="F175" s="149"/>
      <c r="G175" s="149"/>
      <c r="H175" s="119"/>
    </row>
    <row r="176" spans="4:8">
      <c r="D176" s="158" t="str">
        <f>Customers!D132</f>
        <v>PR19</v>
      </c>
      <c r="E176" s="158" t="str">
        <f>Customers!E132</f>
        <v>Weighted average residential apportionment - Wastewater</v>
      </c>
      <c r="F176" s="149"/>
      <c r="G176" s="149"/>
      <c r="H176" s="116">
        <f>Customers!H132</f>
        <v>0.80469926661052749</v>
      </c>
    </row>
    <row r="177" spans="4:8">
      <c r="D177" s="158" t="str">
        <f>Customers!D127</f>
        <v>PR19</v>
      </c>
      <c r="E177" s="158" t="str">
        <f>Customers!E127</f>
        <v>Total households - Wastewater</v>
      </c>
      <c r="F177" s="149"/>
      <c r="G177" s="149"/>
      <c r="H177" s="787">
        <f>Customers!H127</f>
        <v>5789.2719999999999</v>
      </c>
    </row>
    <row r="178" spans="4:8">
      <c r="D178" s="158"/>
      <c r="E178" s="158" t="s">
        <v>716</v>
      </c>
      <c r="F178" s="149"/>
      <c r="G178" s="149"/>
      <c r="H178" s="787">
        <f>H176/H177*1000</f>
        <v>0.13899835188440404</v>
      </c>
    </row>
    <row r="179" spans="4:8">
      <c r="D179" s="158"/>
      <c r="E179" s="158"/>
      <c r="F179" s="149"/>
      <c r="G179" s="149"/>
      <c r="H179" s="119"/>
    </row>
    <row r="180" spans="4:8">
      <c r="D180" s="158"/>
      <c r="E180" s="168" t="s">
        <v>717</v>
      </c>
      <c r="F180" s="149"/>
      <c r="G180" s="149"/>
      <c r="H180" s="119"/>
    </row>
    <row r="181" spans="4:8">
      <c r="D181" s="158"/>
      <c r="E181" s="158" t="str">
        <f t="shared" ref="E181:E200" si="65">E140</f>
        <v>Change in PAYG Totex due to change in PAYG%</v>
      </c>
      <c r="F181" s="149"/>
      <c r="G181" s="149"/>
      <c r="H181" s="787">
        <f>H140*H$174</f>
        <v>-28.991928428722996</v>
      </c>
    </row>
    <row r="182" spans="4:8">
      <c r="D182" s="158"/>
      <c r="E182" s="158" t="str">
        <f t="shared" si="65"/>
        <v>Change in PAYG Totex due to change in Totex</v>
      </c>
      <c r="F182" s="149"/>
      <c r="G182" s="149"/>
      <c r="H182" s="787">
        <f t="shared" ref="H182:H188" si="66">H141*H$174</f>
        <v>19.884459539252155</v>
      </c>
    </row>
    <row r="183" spans="4:8">
      <c r="D183" s="158"/>
      <c r="E183" s="158" t="str">
        <f t="shared" si="65"/>
        <v>Change in RCV depreciation due to change in run-off rate</v>
      </c>
      <c r="F183" s="149"/>
      <c r="G183" s="149"/>
      <c r="H183" s="787">
        <f t="shared" si="66"/>
        <v>13.084093984621068</v>
      </c>
    </row>
    <row r="184" spans="4:8">
      <c r="D184" s="158"/>
      <c r="E184" s="158" t="str">
        <f t="shared" si="65"/>
        <v>Change in RCV depreciation due to change in RCV</v>
      </c>
      <c r="F184" s="149"/>
      <c r="G184" s="149"/>
      <c r="H184" s="787">
        <f t="shared" si="66"/>
        <v>15.046264803734939</v>
      </c>
    </row>
    <row r="185" spans="4:8">
      <c r="D185" s="158"/>
      <c r="E185" s="158" t="str">
        <f t="shared" si="65"/>
        <v>Change in return on RCV due to change in WACC</v>
      </c>
      <c r="F185" s="149"/>
      <c r="G185" s="149"/>
      <c r="H185" s="787">
        <f t="shared" si="66"/>
        <v>-7.7388807454846509</v>
      </c>
    </row>
    <row r="186" spans="4:8">
      <c r="D186" s="158"/>
      <c r="E186" s="158" t="str">
        <f t="shared" si="65"/>
        <v>Change in return on RCV due to change in RCV</v>
      </c>
      <c r="F186" s="149"/>
      <c r="G186" s="149"/>
      <c r="H186" s="787">
        <f t="shared" si="66"/>
        <v>10.48032301163415</v>
      </c>
    </row>
    <row r="187" spans="4:8">
      <c r="D187" s="158"/>
      <c r="E187" s="158" t="str">
        <f t="shared" si="65"/>
        <v>Change in other wholesale items</v>
      </c>
      <c r="F187" s="149"/>
      <c r="G187" s="149"/>
      <c r="H187" s="787">
        <f t="shared" si="66"/>
        <v>-2.5350861628840695</v>
      </c>
    </row>
    <row r="188" spans="4:8">
      <c r="D188" s="158"/>
      <c r="E188" s="792" t="str">
        <f t="shared" si="65"/>
        <v>Change in wholesale reconciliation items</v>
      </c>
      <c r="F188" s="774"/>
      <c r="G188" s="774"/>
      <c r="H188" s="791">
        <f t="shared" si="66"/>
        <v>-0.27842385435065903</v>
      </c>
    </row>
    <row r="189" spans="4:8">
      <c r="D189" s="158"/>
      <c r="E189" s="158" t="str">
        <f t="shared" si="65"/>
        <v>Change due to all wholesale changes except customer numbers</v>
      </c>
      <c r="F189" s="149"/>
      <c r="G189" s="149"/>
      <c r="H189" s="787">
        <f>SUM(H181:H188)</f>
        <v>18.950822147799936</v>
      </c>
    </row>
    <row r="190" spans="4:8">
      <c r="D190" s="158"/>
      <c r="E190" s="158"/>
      <c r="F190" s="149"/>
      <c r="G190" s="149"/>
      <c r="H190" s="787"/>
    </row>
    <row r="191" spans="4:8">
      <c r="D191" s="158"/>
      <c r="E191" s="168" t="s">
        <v>718</v>
      </c>
      <c r="F191" s="149"/>
      <c r="G191" s="149"/>
      <c r="H191" s="787"/>
    </row>
    <row r="192" spans="4:8">
      <c r="D192" s="158"/>
      <c r="E192" s="158" t="str">
        <f t="shared" si="65"/>
        <v>Change in PAYG Totex due to change in PAYG%</v>
      </c>
      <c r="F192" s="149"/>
      <c r="G192" s="149"/>
      <c r="H192" s="787">
        <f>H151*H$178</f>
        <v>-12.399690188481172</v>
      </c>
    </row>
    <row r="193" spans="4:8">
      <c r="D193" s="158"/>
      <c r="E193" s="158" t="str">
        <f t="shared" si="65"/>
        <v>Change in PAYG Totex due to change in Totex</v>
      </c>
      <c r="F193" s="149"/>
      <c r="G193" s="149"/>
      <c r="H193" s="787">
        <f t="shared" ref="H193:H199" si="67">H152*H$178</f>
        <v>8.4839745754610387</v>
      </c>
    </row>
    <row r="194" spans="4:8">
      <c r="D194" s="158"/>
      <c r="E194" s="158" t="str">
        <f t="shared" si="65"/>
        <v>Change in RCV depreciation due to change in run-off rate</v>
      </c>
      <c r="F194" s="149"/>
      <c r="G194" s="149"/>
      <c r="H194" s="787">
        <f t="shared" si="67"/>
        <v>2.7335965302191565</v>
      </c>
    </row>
    <row r="195" spans="4:8">
      <c r="D195" s="158"/>
      <c r="E195" s="158" t="str">
        <f t="shared" si="65"/>
        <v>Change in RCV depreciation due to change in RCV</v>
      </c>
      <c r="F195" s="149"/>
      <c r="G195" s="149"/>
      <c r="H195" s="787">
        <f t="shared" si="67"/>
        <v>4.847663004168985</v>
      </c>
    </row>
    <row r="196" spans="4:8">
      <c r="D196" s="158"/>
      <c r="E196" s="158" t="str">
        <f t="shared" si="65"/>
        <v>Change in return on RCV due to change in WACC</v>
      </c>
      <c r="F196" s="149"/>
      <c r="G196" s="149"/>
      <c r="H196" s="787">
        <f t="shared" si="67"/>
        <v>-6.1835552439145287</v>
      </c>
    </row>
    <row r="197" spans="4:8">
      <c r="D197" s="158"/>
      <c r="E197" s="158" t="str">
        <f t="shared" si="65"/>
        <v>Change in return on RCV due to change in RCV</v>
      </c>
      <c r="F197" s="149"/>
      <c r="G197" s="149"/>
      <c r="H197" s="787">
        <f t="shared" si="67"/>
        <v>3.2468316076878243</v>
      </c>
    </row>
    <row r="198" spans="4:8">
      <c r="D198" s="158"/>
      <c r="E198" s="158" t="str">
        <f t="shared" si="65"/>
        <v>Change in other wholesale items</v>
      </c>
      <c r="F198" s="149"/>
      <c r="G198" s="149"/>
      <c r="H198" s="787">
        <f t="shared" si="67"/>
        <v>0.12715145613668352</v>
      </c>
    </row>
    <row r="199" spans="4:8">
      <c r="D199" s="158"/>
      <c r="E199" s="792" t="str">
        <f t="shared" si="65"/>
        <v>Change in wholesale reconciliation items</v>
      </c>
      <c r="F199" s="774"/>
      <c r="G199" s="774"/>
      <c r="H199" s="791">
        <f t="shared" si="67"/>
        <v>1.5294721250209626</v>
      </c>
    </row>
    <row r="200" spans="4:8">
      <c r="D200" s="158"/>
      <c r="E200" s="158" t="str">
        <f t="shared" si="65"/>
        <v>Change due to all wholesale changes except customer numbers</v>
      </c>
      <c r="F200" s="149"/>
      <c r="G200" s="149"/>
      <c r="H200" s="787">
        <f>SUM(H192:H199)</f>
        <v>2.3854438662989503</v>
      </c>
    </row>
    <row r="201" spans="4:8">
      <c r="D201" s="158"/>
      <c r="E201" s="158"/>
      <c r="F201" s="149"/>
      <c r="G201" s="149"/>
      <c r="H201" s="119"/>
    </row>
    <row r="202" spans="4:8">
      <c r="D202" s="158"/>
      <c r="E202" s="168" t="s">
        <v>719</v>
      </c>
      <c r="F202" s="149"/>
      <c r="G202" s="149"/>
      <c r="H202" s="119"/>
    </row>
    <row r="203" spans="4:8">
      <c r="D203" s="158"/>
      <c r="E203" s="158" t="str">
        <f t="shared" ref="E203:E211" si="68">E181</f>
        <v>Change in PAYG Totex due to change in PAYG%</v>
      </c>
      <c r="F203" s="149"/>
      <c r="G203" s="149"/>
      <c r="H203" s="787">
        <f>SUM(H181,H192)</f>
        <v>-41.391618617204166</v>
      </c>
    </row>
    <row r="204" spans="4:8">
      <c r="D204" s="158"/>
      <c r="E204" s="158" t="str">
        <f t="shared" si="68"/>
        <v>Change in PAYG Totex due to change in Totex</v>
      </c>
      <c r="F204" s="149"/>
      <c r="G204" s="149"/>
      <c r="H204" s="787">
        <f t="shared" ref="H204:H210" si="69">SUM(H182,H193)</f>
        <v>28.368434114713196</v>
      </c>
    </row>
    <row r="205" spans="4:8">
      <c r="D205" s="158"/>
      <c r="E205" s="158" t="str">
        <f t="shared" si="68"/>
        <v>Change in RCV depreciation due to change in run-off rate</v>
      </c>
      <c r="F205" s="149"/>
      <c r="G205" s="149"/>
      <c r="H205" s="787">
        <f t="shared" si="69"/>
        <v>15.817690514840224</v>
      </c>
    </row>
    <row r="206" spans="4:8">
      <c r="D206" s="158"/>
      <c r="E206" s="158" t="str">
        <f t="shared" si="68"/>
        <v>Change in RCV depreciation due to change in RCV</v>
      </c>
      <c r="F206" s="149"/>
      <c r="G206" s="149"/>
      <c r="H206" s="787">
        <f t="shared" si="69"/>
        <v>19.893927807903925</v>
      </c>
    </row>
    <row r="207" spans="4:8">
      <c r="D207" s="158"/>
      <c r="E207" s="158" t="str">
        <f t="shared" si="68"/>
        <v>Change in return on RCV due to change in WACC</v>
      </c>
      <c r="F207" s="149"/>
      <c r="G207" s="149"/>
      <c r="H207" s="787">
        <f t="shared" si="69"/>
        <v>-13.92243598939918</v>
      </c>
    </row>
    <row r="208" spans="4:8">
      <c r="D208" s="158"/>
      <c r="E208" s="158" t="str">
        <f t="shared" si="68"/>
        <v>Change in return on RCV due to change in RCV</v>
      </c>
      <c r="F208" s="149"/>
      <c r="G208" s="149"/>
      <c r="H208" s="787">
        <f t="shared" si="69"/>
        <v>13.727154619321974</v>
      </c>
    </row>
    <row r="209" spans="4:8">
      <c r="D209" s="158"/>
      <c r="E209" s="158" t="str">
        <f t="shared" si="68"/>
        <v>Change in other wholesale items</v>
      </c>
      <c r="F209" s="149"/>
      <c r="G209" s="149"/>
      <c r="H209" s="787">
        <f t="shared" si="69"/>
        <v>-2.407934706747386</v>
      </c>
    </row>
    <row r="210" spans="4:8">
      <c r="D210" s="158"/>
      <c r="E210" s="792" t="str">
        <f t="shared" si="68"/>
        <v>Change in wholesale reconciliation items</v>
      </c>
      <c r="F210" s="774"/>
      <c r="G210" s="774"/>
      <c r="H210" s="791">
        <f t="shared" si="69"/>
        <v>1.2510482706703037</v>
      </c>
    </row>
    <row r="211" spans="4:8">
      <c r="D211" s="158"/>
      <c r="E211" s="158" t="str">
        <f t="shared" si="68"/>
        <v>Change due to all wholesale changes except customer numbers</v>
      </c>
      <c r="F211" s="149"/>
      <c r="G211" s="149"/>
      <c r="H211" s="787">
        <f>SUM(H203:H210)</f>
        <v>21.336266014098893</v>
      </c>
    </row>
    <row r="212" spans="4:8">
      <c r="D212" s="158"/>
      <c r="E212" s="158"/>
      <c r="F212" s="149"/>
      <c r="G212" s="149"/>
      <c r="H212" s="119"/>
    </row>
    <row r="213" spans="4:8">
      <c r="D213" s="158"/>
      <c r="E213" s="158" t="s">
        <v>376</v>
      </c>
      <c r="F213" s="149"/>
      <c r="G213" s="149"/>
      <c r="H213" s="787">
        <f>H211-H126</f>
        <v>6.3748441192501559E-8</v>
      </c>
    </row>
  </sheetData>
  <conditionalFormatting sqref="F1">
    <cfRule type="cellIs" dxfId="31" priority="9" stopIfTrue="1" operator="notEqual">
      <formula>0</formula>
    </cfRule>
    <cfRule type="cellIs" dxfId="30" priority="10" stopIfTrue="1" operator="equal">
      <formula>""</formula>
    </cfRule>
  </conditionalFormatting>
  <conditionalFormatting sqref="H121">
    <cfRule type="cellIs" dxfId="29" priority="3" stopIfTrue="1" operator="notEqual">
      <formula>0</formula>
    </cfRule>
    <cfRule type="cellIs" dxfId="28" priority="4" stopIfTrue="1" operator="equal">
      <formula>""</formula>
    </cfRule>
  </conditionalFormatting>
  <conditionalFormatting sqref="F2">
    <cfRule type="cellIs" dxfId="27" priority="1" stopIfTrue="1" operator="notEqual">
      <formula>0</formula>
    </cfRule>
    <cfRule type="cellIs" dxfId="26" priority="2" stopIfTrue="1" operator="equal">
      <formula>""</formula>
    </cfRule>
  </conditionalFormatting>
  <pageMargins left="0.70866141732283472" right="0.70866141732283472" top="0.74803149606299213" bottom="0.74803149606299213" header="0.31496062992125984" footer="0.31496062992125984"/>
  <pageSetup paperSize="9" scale="40" fitToHeight="0" orientation="portrait" r:id="rId1"/>
  <headerFooter>
    <oddHeader>&amp;LPage &amp;P of &amp;N&amp;CSheet:&amp;A</oddHeader>
    <oddFooter>&amp;L&amp;F ( Printed on &amp;D at &amp;T )&amp;ROFWAT</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0">
    <tabColor theme="1"/>
  </sheetPr>
  <dimension ref="A1"/>
  <sheetViews>
    <sheetView showGridLines="0" workbookViewId="0"/>
  </sheetViews>
  <sheetFormatPr defaultRowHeight="14.4"/>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rgb="FF99CCFF"/>
    <pageSetUpPr fitToPage="1"/>
  </sheetPr>
  <dimension ref="A1:XEY41"/>
  <sheetViews>
    <sheetView showGridLines="0" zoomScale="80" zoomScaleNormal="80" workbookViewId="0">
      <pane ySplit="5" topLeftCell="A6" activePane="bottomLeft" state="frozen"/>
      <selection pane="bottomLeft" activeCell="E32" sqref="E32"/>
    </sheetView>
  </sheetViews>
  <sheetFormatPr defaultColWidth="0" defaultRowHeight="13.2"/>
  <cols>
    <col min="1" max="2" width="1.21875" style="11" customWidth="1"/>
    <col min="3" max="3" width="1.21875" style="12" customWidth="1"/>
    <col min="4" max="4" width="5.77734375" style="13" customWidth="1"/>
    <col min="5" max="5" width="75.77734375" style="14" customWidth="1"/>
    <col min="6" max="6" width="56.44140625" style="14" bestFit="1" customWidth="1"/>
    <col min="7" max="7" width="12.77734375" style="14" customWidth="1"/>
    <col min="8" max="8" width="11.77734375" style="14" customWidth="1"/>
    <col min="9" max="9" width="15.77734375" style="14" customWidth="1"/>
    <col min="10" max="10" width="12.44140625" style="45" customWidth="1"/>
    <col min="11" max="11" width="14.5546875" style="45" customWidth="1"/>
    <col min="12" max="12" width="12.44140625" style="45" customWidth="1"/>
    <col min="13" max="13" width="16.5546875" style="45" customWidth="1"/>
    <col min="14" max="14" width="9.21875" style="45" customWidth="1"/>
    <col min="15" max="16379" width="9.21875" style="45" hidden="1"/>
    <col min="16380" max="16384" width="4.77734375" style="45" hidden="1"/>
  </cols>
  <sheetData>
    <row r="1" spans="1:14" ht="24.6">
      <c r="A1" s="1" t="str">
        <f ca="1" xml:space="preserve"> RIGHT(CELL("filename", $A$1), LEN(CELL("filename", $A$1)) - SEARCH("]", CELL("filename", $A$1)))</f>
        <v>GraphData</v>
      </c>
      <c r="B1" s="1"/>
      <c r="C1" s="2"/>
      <c r="D1" s="3"/>
      <c r="E1" s="4"/>
      <c r="F1" s="4"/>
      <c r="G1" s="6"/>
      <c r="H1" s="6"/>
      <c r="I1" s="6"/>
    </row>
    <row r="2" spans="1:14">
      <c r="A2" s="7"/>
      <c r="B2" s="7"/>
      <c r="C2" s="8"/>
      <c r="D2" s="9"/>
      <c r="E2" s="10"/>
      <c r="F2" s="10"/>
      <c r="G2" s="6"/>
      <c r="H2" s="6"/>
      <c r="I2" s="6"/>
    </row>
    <row r="3" spans="1:14">
      <c r="A3" s="7"/>
      <c r="B3" s="7"/>
      <c r="C3" s="8"/>
      <c r="D3" s="9"/>
      <c r="E3" s="10"/>
      <c r="F3" s="10"/>
      <c r="G3" s="6"/>
      <c r="H3" s="6"/>
      <c r="I3" s="6"/>
    </row>
    <row r="4" spans="1:14" s="28" customFormat="1">
      <c r="A4" s="501"/>
      <c r="B4" s="501"/>
      <c r="C4" s="502"/>
      <c r="D4" s="503"/>
      <c r="E4" s="501" t="s">
        <v>571</v>
      </c>
      <c r="F4" s="501"/>
      <c r="G4" s="503"/>
      <c r="H4" s="504"/>
      <c r="I4" s="500"/>
      <c r="J4" s="504"/>
      <c r="K4" s="504"/>
      <c r="L4" s="500"/>
      <c r="M4" s="505"/>
      <c r="N4" s="506"/>
    </row>
    <row r="5" spans="1:14">
      <c r="A5" s="7"/>
      <c r="B5" s="7"/>
      <c r="C5" s="8"/>
      <c r="D5" s="9"/>
      <c r="E5" s="10"/>
      <c r="F5" s="10"/>
      <c r="G5" s="80"/>
      <c r="H5" s="80"/>
      <c r="I5" s="80"/>
      <c r="J5" s="81"/>
    </row>
    <row r="7" spans="1:14" s="65" customFormat="1" ht="15" customHeight="1">
      <c r="A7" s="15" t="s">
        <v>414</v>
      </c>
      <c r="B7" s="15"/>
      <c r="C7" s="16"/>
      <c r="D7" s="17"/>
      <c r="E7" s="15"/>
      <c r="F7" s="15"/>
      <c r="G7" s="15"/>
      <c r="H7" s="15"/>
      <c r="I7" s="15"/>
      <c r="J7" s="15"/>
      <c r="K7" s="15"/>
      <c r="L7" s="15"/>
      <c r="M7" s="15"/>
      <c r="N7" s="15"/>
    </row>
    <row r="8" spans="1:14" ht="12.75" customHeight="1">
      <c r="K8" s="82"/>
      <c r="L8" s="82"/>
    </row>
    <row r="9" spans="1:14" ht="13.8">
      <c r="A9" s="448"/>
      <c r="B9" s="620" t="s">
        <v>563</v>
      </c>
      <c r="C9" s="563"/>
      <c r="D9" s="564"/>
      <c r="E9" s="45"/>
      <c r="F9" s="45"/>
      <c r="G9" s="448"/>
      <c r="H9" s="564"/>
      <c r="I9" s="448"/>
      <c r="J9" s="193"/>
      <c r="K9" s="193"/>
    </row>
    <row r="10" spans="1:14" ht="12.75" customHeight="1">
      <c r="K10" s="82"/>
      <c r="L10" s="82"/>
    </row>
    <row r="11" spans="1:14" s="42" customFormat="1">
      <c r="A11" s="61"/>
      <c r="B11" s="11" t="s">
        <v>90</v>
      </c>
      <c r="C11" s="62"/>
      <c r="D11" s="76"/>
      <c r="E11" s="36"/>
      <c r="F11" s="36"/>
      <c r="G11" s="36"/>
      <c r="H11" s="36"/>
      <c r="I11" s="36"/>
    </row>
    <row r="12" spans="1:14" s="6" customFormat="1">
      <c r="A12" s="11"/>
      <c r="C12" s="12"/>
      <c r="D12" s="13"/>
      <c r="E12" s="68"/>
      <c r="F12" s="68"/>
      <c r="G12" s="68" t="s">
        <v>13</v>
      </c>
      <c r="H12" s="68" t="s">
        <v>14</v>
      </c>
      <c r="I12" s="68" t="s">
        <v>15</v>
      </c>
      <c r="J12" s="68" t="s">
        <v>16</v>
      </c>
      <c r="K12" s="68" t="s">
        <v>17</v>
      </c>
      <c r="L12" s="72" t="s">
        <v>18</v>
      </c>
      <c r="M12" s="68" t="s">
        <v>19</v>
      </c>
    </row>
    <row r="13" spans="1:14" s="6" customFormat="1" ht="14.4">
      <c r="A13" s="11"/>
      <c r="B13" s="11"/>
      <c r="C13" s="12"/>
      <c r="D13" s="13"/>
      <c r="F13" s="674" t="s">
        <v>301</v>
      </c>
      <c r="G13" s="95">
        <f>Summary_Calc!H24</f>
        <v>410.54744913987486</v>
      </c>
      <c r="H13" s="95">
        <f>G13</f>
        <v>410.54744913987486</v>
      </c>
      <c r="I13" s="70"/>
      <c r="J13" s="70"/>
      <c r="K13" s="70"/>
      <c r="L13" s="69"/>
      <c r="M13" s="70"/>
    </row>
    <row r="14" spans="1:14" s="6" customFormat="1" ht="14.4">
      <c r="A14" s="11"/>
      <c r="B14" s="11"/>
      <c r="C14" s="12"/>
      <c r="D14" s="13"/>
      <c r="E14" s="31" t="str">
        <f>Summary_Calc!E110</f>
        <v>Change in RCV</v>
      </c>
      <c r="F14" s="31" t="str">
        <f t="shared" ref="F14:F23" si="0">RIGHT(E14, LEN(E14) - 10)</f>
        <v>RCV</v>
      </c>
      <c r="G14" s="31">
        <f>Summary_Calc!H110</f>
        <v>33.6210824272259</v>
      </c>
      <c r="H14" s="95"/>
      <c r="I14" s="71">
        <f>MAX(0,MIN(SUM(G$13:G13),SUM(G$13:G14)))+MIN(0,MAX(SUM(G$13:G13),SUM(G$13:G14)))</f>
        <v>410.54744913987486</v>
      </c>
      <c r="J14" s="71">
        <f>MAX(0,MIN(SUM(G$13:G14),G14))</f>
        <v>33.6210824272259</v>
      </c>
      <c r="K14" s="71">
        <f t="shared" ref="K14:K23" si="1">-MAX(0,G14-J14)</f>
        <v>0</v>
      </c>
      <c r="L14" s="73">
        <f t="shared" ref="L14:L23" si="2">MAX(0,M14-G14)</f>
        <v>0</v>
      </c>
      <c r="M14" s="71">
        <f>MIN(0,MAX(SUM(G$13:G14),G14))</f>
        <v>0</v>
      </c>
    </row>
    <row r="15" spans="1:14" s="6" customFormat="1" ht="14.4">
      <c r="A15" s="11"/>
      <c r="B15" s="11"/>
      <c r="C15" s="12"/>
      <c r="D15" s="13"/>
      <c r="E15" s="31" t="str">
        <f>Summary_Calc!E111</f>
        <v>Change in Totex</v>
      </c>
      <c r="F15" s="31" t="str">
        <f t="shared" si="0"/>
        <v>Totex</v>
      </c>
      <c r="G15" s="31">
        <f>Summary_Calc!H111</f>
        <v>28.368434114713196</v>
      </c>
      <c r="H15" s="95"/>
      <c r="I15" s="71">
        <f>MAX(0,MIN(SUM(G$13:G14),SUM(G$13:G15)))+MIN(0,MAX(SUM(G$13:G14),SUM(G$13:G15)))</f>
        <v>444.16853156710079</v>
      </c>
      <c r="J15" s="71">
        <f>MAX(0,MIN(SUM(G$13:G15),G15))</f>
        <v>28.368434114713196</v>
      </c>
      <c r="K15" s="71">
        <f t="shared" si="1"/>
        <v>0</v>
      </c>
      <c r="L15" s="73">
        <f t="shared" si="2"/>
        <v>0</v>
      </c>
      <c r="M15" s="71">
        <f>MIN(0,MAX(SUM(G$13:G15),G15))</f>
        <v>0</v>
      </c>
    </row>
    <row r="16" spans="1:14" s="6" customFormat="1" ht="14.4">
      <c r="A16" s="11"/>
      <c r="B16" s="11"/>
      <c r="C16" s="12"/>
      <c r="D16" s="13"/>
      <c r="E16" s="31" t="str">
        <f>Summary_Calc!E112</f>
        <v>Change in PAYG%</v>
      </c>
      <c r="F16" s="31" t="str">
        <f t="shared" si="0"/>
        <v>PAYG%</v>
      </c>
      <c r="G16" s="31">
        <f>Summary_Calc!H112</f>
        <v>-41.391618617204166</v>
      </c>
      <c r="H16" s="69"/>
      <c r="I16" s="71">
        <f>MAX(0,MIN(SUM(G$13:G15),SUM(G$13:G16)))+MIN(0,MAX(SUM(G$13:G15),SUM(G$13:G16)))</f>
        <v>431.14534706460978</v>
      </c>
      <c r="J16" s="71">
        <f>MAX(0,MIN(SUM(G$13:G16),G16))</f>
        <v>0</v>
      </c>
      <c r="K16" s="71">
        <f t="shared" si="1"/>
        <v>0</v>
      </c>
      <c r="L16" s="73">
        <f t="shared" si="2"/>
        <v>41.391618617204166</v>
      </c>
      <c r="M16" s="71">
        <f>MIN(0,MAX(SUM(G$13:G16),G16))</f>
        <v>0</v>
      </c>
    </row>
    <row r="17" spans="1:13" s="6" customFormat="1" ht="14.4">
      <c r="A17" s="11"/>
      <c r="B17" s="11"/>
      <c r="C17" s="12"/>
      <c r="D17" s="13"/>
      <c r="E17" s="31" t="str">
        <f>Summary_Calc!E113</f>
        <v>Change in Run-off rate</v>
      </c>
      <c r="F17" s="31" t="str">
        <f t="shared" si="0"/>
        <v>Run-off rate</v>
      </c>
      <c r="G17" s="31">
        <f>Summary_Calc!H113</f>
        <v>15.817690514840224</v>
      </c>
      <c r="H17" s="69"/>
      <c r="I17" s="71">
        <f>MAX(0,MIN(SUM(G$13:G16),SUM(G$13:G17)))+MIN(0,MAX(SUM(G$13:G16),SUM(G$13:G17)))</f>
        <v>431.14534706460978</v>
      </c>
      <c r="J17" s="71">
        <f>MAX(0,MIN(SUM(G$13:G17),G17))</f>
        <v>15.817690514840224</v>
      </c>
      <c r="K17" s="71">
        <f t="shared" si="1"/>
        <v>0</v>
      </c>
      <c r="L17" s="73">
        <f t="shared" si="2"/>
        <v>0</v>
      </c>
      <c r="M17" s="71">
        <f>MIN(0,MAX(SUM(G$13:G17),G17))</f>
        <v>0</v>
      </c>
    </row>
    <row r="18" spans="1:13" s="6" customFormat="1" ht="14.4">
      <c r="A18" s="11"/>
      <c r="B18" s="11"/>
      <c r="C18" s="12"/>
      <c r="D18" s="13"/>
      <c r="E18" s="31" t="str">
        <f>Summary_Calc!E114</f>
        <v>Change in WACC</v>
      </c>
      <c r="F18" s="31" t="str">
        <f t="shared" si="0"/>
        <v>WACC</v>
      </c>
      <c r="G18" s="31">
        <f>Summary_Calc!H114</f>
        <v>-13.92243598939918</v>
      </c>
      <c r="H18" s="69"/>
      <c r="I18" s="71">
        <f>MAX(0,MIN(SUM(G$13:G17),SUM(G$13:G18)))+MIN(0,MAX(SUM(G$13:G17),SUM(G$13:G18)))</f>
        <v>433.04060159005087</v>
      </c>
      <c r="J18" s="71">
        <f>MAX(0,MIN(SUM(G$13:G18),G18))</f>
        <v>0</v>
      </c>
      <c r="K18" s="71">
        <f t="shared" si="1"/>
        <v>0</v>
      </c>
      <c r="L18" s="73">
        <f t="shared" si="2"/>
        <v>13.92243598939918</v>
      </c>
      <c r="M18" s="71">
        <f>MIN(0,MAX(SUM(G$13:G18),G18))</f>
        <v>0</v>
      </c>
    </row>
    <row r="19" spans="1:13" s="6" customFormat="1" ht="14.4">
      <c r="A19" s="11"/>
      <c r="B19" s="11"/>
      <c r="C19" s="12"/>
      <c r="D19" s="13"/>
      <c r="E19" s="31" t="str">
        <f>Summary_Calc!E115</f>
        <v>Change in Other wholesale items</v>
      </c>
      <c r="F19" s="31" t="str">
        <f t="shared" si="0"/>
        <v>Other wholesale items</v>
      </c>
      <c r="G19" s="31">
        <f>Summary_Calc!H115</f>
        <v>-2.407934706747386</v>
      </c>
      <c r="H19" s="69"/>
      <c r="I19" s="71">
        <f>MAX(0,MIN(SUM(G$13:G18),SUM(G$13:G19)))+MIN(0,MAX(SUM(G$13:G18),SUM(G$13:G19)))</f>
        <v>430.6326668833035</v>
      </c>
      <c r="J19" s="71">
        <f>MAX(0,MIN(SUM(G$13:G19),G19))</f>
        <v>0</v>
      </c>
      <c r="K19" s="71">
        <f t="shared" si="1"/>
        <v>0</v>
      </c>
      <c r="L19" s="73">
        <f t="shared" si="2"/>
        <v>2.407934706747386</v>
      </c>
      <c r="M19" s="71">
        <f>MIN(0,MAX(SUM(G$13:G19),G19))</f>
        <v>0</v>
      </c>
    </row>
    <row r="20" spans="1:13" s="6" customFormat="1" ht="14.4">
      <c r="A20" s="11"/>
      <c r="B20" s="11"/>
      <c r="C20" s="12"/>
      <c r="D20" s="13"/>
      <c r="E20" s="31" t="str">
        <f>Summary_Calc!E116</f>
        <v>Change in Wholesale reconciliations items</v>
      </c>
      <c r="F20" s="31" t="str">
        <f t="shared" si="0"/>
        <v>Wholesale reconciliations items</v>
      </c>
      <c r="G20" s="31">
        <f>Summary_Calc!H116</f>
        <v>1.2510482706703037</v>
      </c>
      <c r="H20" s="69"/>
      <c r="I20" s="71">
        <f>MAX(0,MIN(SUM(G$13:G19),SUM(G$13:G20)))+MIN(0,MAX(SUM(G$13:G19),SUM(G$13:G20)))</f>
        <v>430.6326668833035</v>
      </c>
      <c r="J20" s="71">
        <f>MAX(0,MIN(SUM(G$13:G20),G20))</f>
        <v>1.2510482706703037</v>
      </c>
      <c r="K20" s="71">
        <f t="shared" si="1"/>
        <v>0</v>
      </c>
      <c r="L20" s="73">
        <f t="shared" si="2"/>
        <v>0</v>
      </c>
      <c r="M20" s="71">
        <f>MIN(0,MAX(SUM(G$13:G20),G20))</f>
        <v>0</v>
      </c>
    </row>
    <row r="21" spans="1:13" s="6" customFormat="1" ht="14.4">
      <c r="A21" s="11"/>
      <c r="B21" s="11"/>
      <c r="C21" s="12"/>
      <c r="D21" s="13"/>
      <c r="E21" s="31" t="str">
        <f>Summary_Calc!E108</f>
        <v>Change in 5th control</v>
      </c>
      <c r="F21" s="31" t="str">
        <f t="shared" si="0"/>
        <v>5th control</v>
      </c>
      <c r="G21" s="31">
        <f>Summary_Calc!H108</f>
        <v>-16.084255388824719</v>
      </c>
      <c r="H21" s="69"/>
      <c r="I21" s="71">
        <f>MAX(0,MIN(SUM(G$13:G20),SUM(G$13:G21)))+MIN(0,MAX(SUM(G$13:G20),SUM(G$13:G21)))</f>
        <v>415.79945976514909</v>
      </c>
      <c r="J21" s="71">
        <f>MAX(0,MIN(SUM(G$13:G21),G21))</f>
        <v>0</v>
      </c>
      <c r="K21" s="71">
        <f t="shared" si="1"/>
        <v>0</v>
      </c>
      <c r="L21" s="73">
        <f t="shared" si="2"/>
        <v>16.084255388824719</v>
      </c>
      <c r="M21" s="71">
        <f>MIN(0,MAX(SUM(G$13:G21),G21))</f>
        <v>0</v>
      </c>
    </row>
    <row r="22" spans="1:13" s="6" customFormat="1" ht="14.4">
      <c r="A22" s="11"/>
      <c r="B22" s="11"/>
      <c r="C22" s="12"/>
      <c r="D22" s="13"/>
      <c r="E22" s="272" t="str">
        <f>Retail!E$24</f>
        <v>Change in retail CTS</v>
      </c>
      <c r="F22" s="31" t="str">
        <f t="shared" si="0"/>
        <v>retail CTS</v>
      </c>
      <c r="G22" s="576">
        <f>Retail!H$24</f>
        <v>-5.7072884335123604</v>
      </c>
      <c r="H22" s="69"/>
      <c r="I22" s="71">
        <f>MAX(0,MIN(SUM(G$13:G21),SUM(G$13:G22)))+MIN(0,MAX(SUM(G$13:G21),SUM(G$13:G22)))</f>
        <v>410.09217133163673</v>
      </c>
      <c r="J22" s="71">
        <f>MAX(0,MIN(SUM(G$13:G22),G22))</f>
        <v>0</v>
      </c>
      <c r="K22" s="71">
        <f t="shared" si="1"/>
        <v>0</v>
      </c>
      <c r="L22" s="73">
        <f t="shared" si="2"/>
        <v>5.7072884335123604</v>
      </c>
      <c r="M22" s="71">
        <f>MIN(0,MAX(SUM(G$13:G22),G22))</f>
        <v>0</v>
      </c>
    </row>
    <row r="23" spans="1:13" s="6" customFormat="1" ht="14.4">
      <c r="A23" s="11"/>
      <c r="B23" s="11"/>
      <c r="C23" s="12"/>
      <c r="D23" s="13"/>
      <c r="E23" s="31" t="str">
        <f>Customers!E147</f>
        <v>Change in customer numbers and residential apportionment</v>
      </c>
      <c r="F23" s="31" t="str">
        <f t="shared" si="0"/>
        <v>customer numbers and residential apportionment</v>
      </c>
      <c r="G23" s="31">
        <f>Customers!H147</f>
        <v>-25.723046849937333</v>
      </c>
      <c r="H23" s="69"/>
      <c r="I23" s="71">
        <f>MAX(0,MIN(SUM(G$13:G22),SUM(G$13:G23)))+MIN(0,MAX(SUM(G$13:G22),SUM(G$13:G23)))</f>
        <v>384.36912448169937</v>
      </c>
      <c r="J23" s="71">
        <f>MAX(0,MIN(SUM(G$13:G23),G23))</f>
        <v>0</v>
      </c>
      <c r="K23" s="71">
        <f t="shared" si="1"/>
        <v>0</v>
      </c>
      <c r="L23" s="73">
        <f t="shared" si="2"/>
        <v>25.723046849937333</v>
      </c>
      <c r="M23" s="71">
        <f>MIN(0,MAX(SUM(G$13:G23),G23))</f>
        <v>0</v>
      </c>
    </row>
    <row r="24" spans="1:13" s="6" customFormat="1" ht="14.4">
      <c r="A24" s="11"/>
      <c r="B24" s="11"/>
      <c r="C24" s="12"/>
      <c r="D24" s="13"/>
      <c r="F24" s="72" t="s">
        <v>302</v>
      </c>
      <c r="G24" s="69"/>
      <c r="H24" s="69">
        <f>SUM(G13:G23)</f>
        <v>384.36912448169937</v>
      </c>
      <c r="I24" s="70"/>
      <c r="J24" s="70"/>
      <c r="K24" s="70"/>
      <c r="L24" s="69"/>
      <c r="M24" s="70"/>
    </row>
    <row r="25" spans="1:13" s="42" customFormat="1">
      <c r="A25" s="61"/>
      <c r="B25" s="61"/>
      <c r="C25" s="62"/>
      <c r="D25" s="671" t="s">
        <v>565</v>
      </c>
      <c r="G25" s="36"/>
      <c r="I25" s="36"/>
      <c r="J25" s="36"/>
    </row>
    <row r="26" spans="1:13" s="42" customFormat="1">
      <c r="A26" s="61"/>
      <c r="B26" s="61"/>
      <c r="C26" s="62"/>
      <c r="D26" s="671" t="s">
        <v>566</v>
      </c>
      <c r="E26" s="671"/>
      <c r="F26" s="671"/>
      <c r="G26" s="36"/>
      <c r="I26" s="36"/>
      <c r="J26" s="36"/>
    </row>
    <row r="27" spans="1:13" s="42" customFormat="1">
      <c r="A27" s="61"/>
      <c r="B27" s="61"/>
      <c r="C27" s="62"/>
      <c r="E27" s="671"/>
      <c r="F27" s="671"/>
      <c r="G27" s="36"/>
      <c r="I27" s="36"/>
      <c r="J27" s="36"/>
    </row>
    <row r="28" spans="1:13" ht="15">
      <c r="A28" s="448"/>
      <c r="B28" s="620" t="s">
        <v>567</v>
      </c>
      <c r="C28" s="672"/>
      <c r="D28" s="564"/>
      <c r="E28" s="564"/>
      <c r="F28" s="564"/>
      <c r="G28" s="45"/>
      <c r="H28" s="673"/>
      <c r="I28" s="564"/>
      <c r="J28" s="448"/>
      <c r="K28" s="193"/>
      <c r="L28" s="193"/>
    </row>
    <row r="29" spans="1:13" ht="12.75" customHeight="1">
      <c r="D29" s="149"/>
      <c r="E29" s="45"/>
      <c r="F29" s="682" t="s">
        <v>568</v>
      </c>
      <c r="G29" s="683" t="s">
        <v>572</v>
      </c>
      <c r="H29" s="683" t="s">
        <v>569</v>
      </c>
      <c r="I29" s="684" t="s">
        <v>577</v>
      </c>
      <c r="J29" s="118"/>
      <c r="L29" s="82"/>
      <c r="M29" s="83"/>
    </row>
    <row r="30" spans="1:13" ht="12.75" customHeight="1">
      <c r="D30" s="149"/>
      <c r="E30" s="45"/>
      <c r="F30" s="158" t="str">
        <f xml:space="preserve"> "Maximum bill, rounded up to nearest " &amp; I30</f>
        <v>Maximum bill, rounded up to nearest 50</v>
      </c>
      <c r="G30" s="45"/>
      <c r="H30" s="118">
        <f>IFERROR(CEILING( MAX(H13:I24) +1, I30), 0)</f>
        <v>450</v>
      </c>
      <c r="I30" s="686">
        <v>50</v>
      </c>
      <c r="J30" s="118"/>
      <c r="L30" s="82"/>
      <c r="M30" s="83"/>
    </row>
    <row r="31" spans="1:13" ht="12.75" customHeight="1">
      <c r="D31" s="149"/>
      <c r="E31" s="45"/>
      <c r="F31" s="158" t="str">
        <f xml:space="preserve"> "Minimum bill, rounded down to nearest " &amp; I31</f>
        <v>Minimum bill, rounded down to nearest 100</v>
      </c>
      <c r="G31" s="45"/>
      <c r="H31" s="118">
        <f>IFERROR( FLOOR(MIN(H13:I24) -1, I31), 0)</f>
        <v>300</v>
      </c>
      <c r="I31" s="687">
        <v>100</v>
      </c>
      <c r="J31" s="118"/>
      <c r="L31" s="82"/>
      <c r="M31" s="83"/>
    </row>
    <row r="32" spans="1:13" ht="12.75" customHeight="1">
      <c r="D32" s="149"/>
      <c r="E32" s="45"/>
      <c r="F32" s="158" t="s">
        <v>570</v>
      </c>
      <c r="G32" s="45">
        <v>1</v>
      </c>
      <c r="H32" s="45">
        <v>1</v>
      </c>
      <c r="I32" s="45"/>
      <c r="J32" s="118"/>
      <c r="L32" s="82"/>
      <c r="M32" s="82"/>
    </row>
    <row r="33" spans="1:14" ht="12.75" customHeight="1">
      <c r="D33" s="149"/>
      <c r="E33" s="45"/>
      <c r="F33" s="158"/>
      <c r="G33" s="45"/>
      <c r="H33" s="45"/>
      <c r="I33" s="45"/>
      <c r="J33" s="118"/>
      <c r="L33" s="82"/>
      <c r="M33" s="82"/>
    </row>
    <row r="34" spans="1:14" ht="12.75" customHeight="1">
      <c r="D34" s="149"/>
      <c r="E34" s="45"/>
      <c r="F34" s="158"/>
      <c r="G34" s="45"/>
      <c r="H34" s="45"/>
      <c r="I34" s="45"/>
      <c r="J34" s="118"/>
      <c r="L34" s="82"/>
      <c r="M34" s="82"/>
    </row>
    <row r="36" spans="1:14" s="75" customFormat="1">
      <c r="A36" s="38" t="s">
        <v>6</v>
      </c>
      <c r="B36" s="38"/>
      <c r="C36" s="39"/>
      <c r="D36" s="40"/>
      <c r="E36" s="39"/>
      <c r="F36" s="39"/>
      <c r="G36" s="41"/>
      <c r="H36" s="38"/>
      <c r="I36" s="38"/>
      <c r="J36" s="38"/>
      <c r="K36" s="38"/>
      <c r="L36" s="38"/>
      <c r="M36" s="38"/>
      <c r="N36" s="38"/>
    </row>
    <row r="38" spans="1:14" ht="13.8">
      <c r="E38" s="6"/>
      <c r="F38" s="669"/>
      <c r="G38" s="650"/>
      <c r="H38" s="6"/>
      <c r="I38" s="6"/>
    </row>
    <row r="39" spans="1:14" ht="13.8">
      <c r="E39" s="6"/>
      <c r="F39" s="669"/>
      <c r="G39" s="650"/>
      <c r="H39" s="6"/>
      <c r="I39" s="6"/>
    </row>
    <row r="40" spans="1:14" ht="13.8">
      <c r="E40" s="6"/>
      <c r="F40" s="669"/>
      <c r="G40" s="650"/>
      <c r="H40" s="6"/>
      <c r="I40" s="6"/>
    </row>
    <row r="41" spans="1:14" ht="13.8">
      <c r="F41" s="669"/>
      <c r="G41" s="650"/>
    </row>
  </sheetData>
  <pageMargins left="0.70866141732283472" right="0.70866141732283472" top="0.74803149606299213" bottom="0.74803149606299213" header="0.31496062992125984" footer="0.31496062992125984"/>
  <pageSetup paperSize="9" scale="52" orientation="landscape" r:id="rId1"/>
  <headerFooter>
    <oddHeader>&amp;LPage &amp;P of &amp;N&amp;CSheet:&amp;A</oddHeader>
    <oddFooter>&amp;L&amp;F ( Printed on &amp;D at &amp;T )&amp;ROFWAT</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1">
    <tabColor theme="1"/>
  </sheetPr>
  <dimension ref="A1"/>
  <sheetViews>
    <sheetView showGridLines="0" workbookViewId="0"/>
  </sheetViews>
  <sheetFormatPr defaultRowHeight="14.4"/>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57">
    <tabColor rgb="FFCCFFFF"/>
    <outlinePr summaryBelow="0" summaryRight="0"/>
    <pageSetUpPr fitToPage="1"/>
  </sheetPr>
  <dimension ref="A1:AQ129"/>
  <sheetViews>
    <sheetView showGridLines="0" defaultGridColor="0" colorId="22" zoomScale="80" zoomScaleNormal="80" workbookViewId="0">
      <pane xSplit="9" ySplit="6" topLeftCell="J7" activePane="bottomRight" state="frozen"/>
      <selection pane="topRight"/>
      <selection pane="bottomLeft"/>
      <selection pane="bottomRight"/>
    </sheetView>
  </sheetViews>
  <sheetFormatPr defaultColWidth="0" defaultRowHeight="13.2"/>
  <cols>
    <col min="1" max="1" width="2.77734375" style="22" customWidth="1"/>
    <col min="2" max="2" width="1.21875" style="22" customWidth="1"/>
    <col min="3" max="3" width="1.21875" style="226" customWidth="1"/>
    <col min="4" max="4" width="6.44140625" style="201" customWidth="1"/>
    <col min="5" max="5" width="75.77734375" style="311" customWidth="1"/>
    <col min="6" max="6" width="12.77734375" style="311" customWidth="1"/>
    <col min="7" max="7" width="11.77734375" style="311" customWidth="1"/>
    <col min="8" max="8" width="15.77734375" style="519" customWidth="1"/>
    <col min="9" max="9" width="2.77734375" style="311" customWidth="1"/>
    <col min="10" max="10" width="4.77734375" style="311" customWidth="1"/>
    <col min="11" max="11" width="12.77734375" style="519" customWidth="1"/>
    <col min="12" max="12" width="12.77734375" style="532" customWidth="1"/>
    <col min="13" max="13" width="2.77734375" style="599" customWidth="1"/>
    <col min="14" max="14" width="15.77734375" style="519" customWidth="1"/>
    <col min="15" max="15" width="2.77734375" style="120" customWidth="1"/>
    <col min="16" max="43" width="0" style="28" hidden="1" customWidth="1"/>
    <col min="44" max="16384" width="2.77734375" style="28" hidden="1"/>
  </cols>
  <sheetData>
    <row r="1" spans="1:15" ht="24.6">
      <c r="A1" s="303" t="str">
        <f ca="1" xml:space="preserve"> RIGHT(CELL("filename", $A$1), LEN(CELL("filename", $A$1)) - SEARCH("]", CELL("filename", $A$1)))</f>
        <v>Track</v>
      </c>
      <c r="B1" s="1"/>
      <c r="C1" s="2"/>
      <c r="D1" s="3"/>
      <c r="E1" s="4"/>
      <c r="F1" s="480"/>
      <c r="G1" s="481"/>
      <c r="H1" s="482"/>
      <c r="I1" s="406"/>
      <c r="J1" s="480"/>
      <c r="K1" s="481"/>
      <c r="L1" s="482"/>
      <c r="M1" s="356" t="s">
        <v>240</v>
      </c>
      <c r="N1" s="484"/>
      <c r="O1" s="570" t="s">
        <v>240</v>
      </c>
    </row>
    <row r="2" spans="1:15">
      <c r="A2" s="486"/>
      <c r="D2" s="149"/>
      <c r="E2" s="354"/>
      <c r="F2" s="487">
        <f>Check!$F$2</f>
        <v>0</v>
      </c>
      <c r="G2" s="488" t="s">
        <v>82</v>
      </c>
      <c r="H2" s="489"/>
      <c r="J2" s="336">
        <f xml:space="preserve"> SUM(J7:J119)</f>
        <v>93</v>
      </c>
      <c r="K2" s="483"/>
      <c r="L2" s="490"/>
      <c r="M2" s="356"/>
      <c r="N2" s="484"/>
      <c r="O2" s="485"/>
    </row>
    <row r="3" spans="1:15">
      <c r="D3" s="149"/>
      <c r="E3" s="357"/>
      <c r="F3" s="336">
        <f>J2</f>
        <v>93</v>
      </c>
      <c r="G3" s="491" t="s">
        <v>83</v>
      </c>
      <c r="H3" s="489"/>
      <c r="I3" s="8"/>
      <c r="J3" s="325"/>
      <c r="K3" s="492"/>
      <c r="L3" s="493"/>
      <c r="M3" s="494"/>
      <c r="N3" s="495"/>
      <c r="O3" s="496"/>
    </row>
    <row r="4" spans="1:15">
      <c r="D4" s="149"/>
      <c r="E4" s="293"/>
      <c r="F4" s="489"/>
      <c r="G4" s="489"/>
      <c r="H4" s="489"/>
      <c r="I4" s="8"/>
      <c r="J4" s="8"/>
      <c r="K4" s="483"/>
      <c r="L4" s="490"/>
      <c r="M4" s="497"/>
      <c r="N4" s="120"/>
      <c r="O4" s="329"/>
    </row>
    <row r="5" spans="1:15">
      <c r="D5" s="119"/>
      <c r="E5" s="120"/>
      <c r="F5" s="145"/>
      <c r="G5" s="498" t="s">
        <v>1</v>
      </c>
      <c r="H5" s="483"/>
      <c r="I5" s="120"/>
      <c r="J5" s="311">
        <f xml:space="preserve"> MATCH($H$6, M6:O6, 0)</f>
        <v>2</v>
      </c>
      <c r="K5" s="499" t="s">
        <v>242</v>
      </c>
      <c r="L5" s="325" t="s">
        <v>258</v>
      </c>
      <c r="M5" s="497"/>
      <c r="N5" s="483"/>
      <c r="O5" s="329"/>
    </row>
    <row r="6" spans="1:15">
      <c r="D6" s="119"/>
      <c r="E6" s="120" t="s">
        <v>241</v>
      </c>
      <c r="F6" s="145"/>
      <c r="G6" s="145"/>
      <c r="H6" s="619" t="s">
        <v>339</v>
      </c>
      <c r="I6" s="120"/>
      <c r="K6" s="499"/>
      <c r="L6" s="325"/>
      <c r="M6" s="497"/>
      <c r="N6" s="603" t="s">
        <v>339</v>
      </c>
      <c r="O6" s="329"/>
    </row>
    <row r="7" spans="1:15">
      <c r="A7" s="501"/>
      <c r="B7" s="501"/>
      <c r="C7" s="502"/>
      <c r="D7" s="503"/>
      <c r="E7" s="501" t="s">
        <v>87</v>
      </c>
      <c r="F7" s="503"/>
      <c r="G7" s="504"/>
      <c r="H7" s="500"/>
      <c r="I7" s="504"/>
      <c r="J7" s="504"/>
      <c r="K7" s="500"/>
      <c r="L7" s="505"/>
      <c r="M7" s="506"/>
      <c r="N7" s="500"/>
      <c r="O7" s="329"/>
    </row>
    <row r="8" spans="1:15" s="600" customFormat="1" ht="15" customHeight="1">
      <c r="A8" s="507" t="s">
        <v>243</v>
      </c>
      <c r="B8" s="507"/>
      <c r="C8" s="508"/>
      <c r="D8" s="509"/>
      <c r="E8" s="510"/>
      <c r="F8" s="509"/>
      <c r="G8" s="510"/>
      <c r="H8" s="511"/>
      <c r="I8" s="510"/>
      <c r="J8" s="510"/>
      <c r="K8" s="512"/>
      <c r="L8" s="513"/>
      <c r="M8" s="514"/>
      <c r="N8" s="511"/>
      <c r="O8" s="515"/>
    </row>
    <row r="9" spans="1:15">
      <c r="A9" s="517"/>
      <c r="B9" s="516"/>
      <c r="C9" s="526"/>
      <c r="D9" s="517"/>
      <c r="E9" s="523"/>
      <c r="F9" s="523"/>
      <c r="G9" s="523"/>
      <c r="H9" s="524"/>
      <c r="I9" s="120"/>
      <c r="J9" s="276"/>
      <c r="K9" s="276"/>
      <c r="L9" s="116"/>
      <c r="M9" s="497"/>
      <c r="N9" s="525"/>
      <c r="O9" s="330"/>
    </row>
    <row r="10" spans="1:15">
      <c r="A10" s="361"/>
      <c r="B10" s="362"/>
      <c r="C10" s="361" t="s">
        <v>390</v>
      </c>
      <c r="D10" s="361"/>
      <c r="E10" s="363"/>
      <c r="F10" s="363"/>
      <c r="G10" s="363"/>
      <c r="H10" s="364"/>
      <c r="I10" s="358"/>
      <c r="J10" s="276"/>
      <c r="K10" s="276"/>
      <c r="L10" s="116"/>
      <c r="M10" s="497"/>
      <c r="N10" s="525"/>
      <c r="O10" s="330"/>
    </row>
    <row r="11" spans="1:15">
      <c r="A11" s="517"/>
      <c r="B11" s="516"/>
      <c r="C11" s="526"/>
      <c r="D11" s="49" t="str">
        <f>InpAct!D$38</f>
        <v>PR19</v>
      </c>
      <c r="E11" s="49" t="str">
        <f>InpAct!E$38</f>
        <v>Retail allowed revenue per customer: single service - real</v>
      </c>
      <c r="F11" s="49">
        <f>InpAct!F$38</f>
        <v>0</v>
      </c>
      <c r="G11" s="49" t="str">
        <f>InpAct!G$38</f>
        <v>£</v>
      </c>
      <c r="H11" s="49">
        <f>InpAct!H$38</f>
        <v>14.736192203084999</v>
      </c>
      <c r="I11" s="120"/>
      <c r="J11" s="336">
        <f xml:space="preserve"> IF(ABS(K11) &gt; InpC!$F$9, 1, 0)</f>
        <v>1</v>
      </c>
      <c r="K11" s="276">
        <f t="shared" ref="K11:K42" si="0" xml:space="preserve"> H11 - INDEX(M11:O11, $J$5)</f>
        <v>14.736192203084999</v>
      </c>
      <c r="L11" s="116">
        <f xml:space="preserve"> IF(ABS(K11) &gt; InpC!$F$9, IF(INDEX(M11:O11, $J$5) = 0, 0, H11 / INDEX(M11:O11, $J$5) - 1), 0)</f>
        <v>0</v>
      </c>
      <c r="M11" s="497"/>
      <c r="N11" s="525">
        <v>0</v>
      </c>
      <c r="O11" s="330"/>
    </row>
    <row r="12" spans="1:15">
      <c r="A12" s="517"/>
      <c r="B12" s="516"/>
      <c r="C12" s="526"/>
      <c r="D12" s="517"/>
      <c r="E12" s="523"/>
      <c r="F12" s="523"/>
      <c r="G12" s="523"/>
      <c r="H12" s="524"/>
      <c r="I12" s="120"/>
      <c r="J12" s="336">
        <f xml:space="preserve"> IF(ABS(K12) &gt; InpC!$F$9, 1, 0)</f>
        <v>0</v>
      </c>
      <c r="K12" s="276">
        <f t="shared" si="0"/>
        <v>0</v>
      </c>
      <c r="L12" s="116">
        <f xml:space="preserve"> IF(ABS(K12) &gt; InpC!$F$9, IF(INDEX(M12:O12, $J$5) = 0, 0, H12 / INDEX(M12:O12, $J$5) - 1), 0)</f>
        <v>0</v>
      </c>
      <c r="M12" s="497"/>
      <c r="N12" s="525">
        <v>0</v>
      </c>
      <c r="O12" s="330"/>
    </row>
    <row r="13" spans="1:15">
      <c r="A13" s="361"/>
      <c r="B13" s="362"/>
      <c r="C13" s="361" t="s">
        <v>256</v>
      </c>
      <c r="D13" s="361"/>
      <c r="E13" s="363"/>
      <c r="F13" s="363"/>
      <c r="G13" s="363"/>
      <c r="H13" s="364"/>
      <c r="I13" s="358"/>
      <c r="J13" s="336">
        <f xml:space="preserve"> IF(ABS(K13) &gt; InpC!$F$9, 1, 0)</f>
        <v>0</v>
      </c>
      <c r="K13" s="276">
        <f t="shared" si="0"/>
        <v>0</v>
      </c>
      <c r="L13" s="116">
        <f xml:space="preserve"> IF(ABS(K13) &gt; InpC!$F$9, IF(INDEX(M13:O13, $J$5) = 0, 0, H13 / INDEX(M13:O13, $J$5) - 1), 0)</f>
        <v>0</v>
      </c>
      <c r="M13" s="497"/>
      <c r="N13" s="525">
        <v>0</v>
      </c>
      <c r="O13" s="330"/>
    </row>
    <row r="14" spans="1:15">
      <c r="A14" s="361"/>
      <c r="B14" s="365"/>
      <c r="C14" s="361"/>
      <c r="D14" s="366" t="str">
        <f>InpAct!D$28</f>
        <v>PR19</v>
      </c>
      <c r="E14" s="366" t="str">
        <f>InpAct!E28</f>
        <v>Households connected for water only - unmetered</v>
      </c>
      <c r="F14" s="366">
        <f>InpAct!F28</f>
        <v>0</v>
      </c>
      <c r="G14" s="366" t="str">
        <f>InpAct!G28</f>
        <v>000s</v>
      </c>
      <c r="H14" s="366">
        <f>InpAct!H28</f>
        <v>18.925000000000001</v>
      </c>
      <c r="I14" s="366"/>
      <c r="J14" s="336">
        <f xml:space="preserve"> IF(ABS(K14) &gt; InpC!$F$9, 1, 0)</f>
        <v>1</v>
      </c>
      <c r="K14" s="85">
        <f t="shared" si="0"/>
        <v>18.925000000000001</v>
      </c>
      <c r="L14" s="116">
        <f xml:space="preserve"> IF(ABS(K14) &gt; InpC!$F$9, IF(INDEX(M14:O14, $J$5) = 0, 0, H14 / INDEX(M14:O14, $J$5) - 1), 0)</f>
        <v>0</v>
      </c>
      <c r="M14" s="497"/>
      <c r="N14" s="525">
        <v>0</v>
      </c>
      <c r="O14" s="330"/>
    </row>
    <row r="15" spans="1:15">
      <c r="A15" s="361"/>
      <c r="B15" s="365"/>
      <c r="C15" s="361"/>
      <c r="D15" s="366" t="str">
        <f>InpAct!D$25</f>
        <v>PR19</v>
      </c>
      <c r="E15" s="366" t="str">
        <f>InpAct!E25</f>
        <v>Households connected for water only - metered</v>
      </c>
      <c r="F15" s="366">
        <f>InpAct!F25</f>
        <v>0</v>
      </c>
      <c r="G15" s="366" t="str">
        <f>InpAct!G25</f>
        <v>000s</v>
      </c>
      <c r="H15" s="366">
        <f>InpAct!H25</f>
        <v>33.750999999999998</v>
      </c>
      <c r="I15" s="366"/>
      <c r="J15" s="336">
        <f xml:space="preserve"> IF(ABS(K15) &gt; InpC!$F$9, 1, 0)</f>
        <v>1</v>
      </c>
      <c r="K15" s="85">
        <f t="shared" si="0"/>
        <v>33.750999999999998</v>
      </c>
      <c r="L15" s="116">
        <f xml:space="preserve"> IF(ABS(K15) &gt; InpC!$F$9, IF(INDEX(M15:O15, $J$5) = 0, 0, H15 / INDEX(M15:O15, $J$5) - 1), 0)</f>
        <v>0</v>
      </c>
      <c r="M15" s="521"/>
      <c r="N15" s="525">
        <v>0</v>
      </c>
      <c r="O15" s="522"/>
    </row>
    <row r="16" spans="1:15">
      <c r="A16" s="361"/>
      <c r="B16" s="365"/>
      <c r="C16" s="361"/>
      <c r="D16" s="366" t="str">
        <f>InpAct!D$26</f>
        <v>PR19</v>
      </c>
      <c r="E16" s="366" t="str">
        <f>InpAct!E26</f>
        <v>Households connected for sewerage only - unmetered</v>
      </c>
      <c r="F16" s="366">
        <f>InpAct!F26</f>
        <v>0</v>
      </c>
      <c r="G16" s="366" t="str">
        <f>InpAct!G26</f>
        <v>000s</v>
      </c>
      <c r="H16" s="366">
        <f>InpAct!H26</f>
        <v>553.08500000000004</v>
      </c>
      <c r="I16" s="366"/>
      <c r="J16" s="336">
        <f xml:space="preserve"> IF(ABS(K16) &gt; InpC!$F$9, 1, 0)</f>
        <v>1</v>
      </c>
      <c r="K16" s="85">
        <f t="shared" si="0"/>
        <v>553.08500000000004</v>
      </c>
      <c r="L16" s="116">
        <f xml:space="preserve"> IF(ABS(K16) &gt; InpC!$F$9, IF(INDEX(M16:O16, $J$5) = 0, 0, H16 / INDEX(M16:O16, $J$5) - 1), 0)</f>
        <v>0</v>
      </c>
      <c r="M16" s="521"/>
      <c r="N16" s="525">
        <v>0</v>
      </c>
      <c r="O16" s="522"/>
    </row>
    <row r="17" spans="1:15" s="45" customFormat="1">
      <c r="A17" s="361"/>
      <c r="B17" s="365"/>
      <c r="C17" s="361"/>
      <c r="D17" s="366" t="str">
        <f>InpAct!D29</f>
        <v>PR19</v>
      </c>
      <c r="E17" s="366" t="str">
        <f>InpAct!E29</f>
        <v>Households connected for sewerage only - metered</v>
      </c>
      <c r="F17" s="366">
        <f>InpAct!F29</f>
        <v>0</v>
      </c>
      <c r="G17" s="366" t="str">
        <f>InpAct!G29</f>
        <v>000s</v>
      </c>
      <c r="H17" s="366">
        <f>InpAct!H29</f>
        <v>1526.117</v>
      </c>
      <c r="I17" s="366"/>
      <c r="J17" s="336">
        <f xml:space="preserve"> IF(ABS(K17) &gt; InpC!$F$9, 1, 0)</f>
        <v>1</v>
      </c>
      <c r="K17" s="85">
        <f t="shared" si="0"/>
        <v>1526.117</v>
      </c>
      <c r="L17" s="116">
        <f xml:space="preserve"> IF(ABS(K17) &gt; InpC!$F$9, IF(INDEX(M17:O17, $J$5) = 0, 0, H17 / INDEX(M17:O17, $J$5) - 1), 0)</f>
        <v>0</v>
      </c>
      <c r="M17" s="521"/>
      <c r="N17" s="525">
        <v>0</v>
      </c>
      <c r="O17" s="522"/>
    </row>
    <row r="18" spans="1:15">
      <c r="A18" s="361"/>
      <c r="B18" s="365"/>
      <c r="C18" s="361"/>
      <c r="D18" s="366" t="str">
        <f>InpAct!D30</f>
        <v>PR19</v>
      </c>
      <c r="E18" s="366" t="str">
        <f>InpAct!E30</f>
        <v>Households connected for water and sewerage - unmetered</v>
      </c>
      <c r="F18" s="366">
        <f>InpAct!F30</f>
        <v>0</v>
      </c>
      <c r="G18" s="366" t="str">
        <f>InpAct!G30</f>
        <v>000s</v>
      </c>
      <c r="H18" s="366">
        <f>InpAct!H30</f>
        <v>1501.171</v>
      </c>
      <c r="I18" s="366"/>
      <c r="J18" s="336">
        <f xml:space="preserve"> IF(ABS(K18) &gt; InpC!$F$9, 1, 0)</f>
        <v>1</v>
      </c>
      <c r="K18" s="85">
        <f t="shared" si="0"/>
        <v>1501.171</v>
      </c>
      <c r="L18" s="116">
        <f xml:space="preserve"> IF(ABS(K18) &gt; InpC!$F$9, IF(INDEX(M18:O18, $J$5) = 0, 0, H18 / INDEX(M18:O18, $J$5) - 1), 0)</f>
        <v>0</v>
      </c>
      <c r="M18" s="521"/>
      <c r="N18" s="525">
        <v>0</v>
      </c>
      <c r="O18" s="522"/>
    </row>
    <row r="19" spans="1:15">
      <c r="A19" s="361"/>
      <c r="B19" s="365"/>
      <c r="C19" s="361"/>
      <c r="D19" s="366" t="str">
        <f>InpAct!D27</f>
        <v>PR19</v>
      </c>
      <c r="E19" s="366" t="str">
        <f>InpAct!E27</f>
        <v>Households connected for water and sewerage - metered</v>
      </c>
      <c r="F19" s="366">
        <f>InpAct!F27</f>
        <v>0</v>
      </c>
      <c r="G19" s="366" t="str">
        <f>InpAct!G27</f>
        <v>000s</v>
      </c>
      <c r="H19" s="366">
        <f>InpAct!H27</f>
        <v>2208.8989999999999</v>
      </c>
      <c r="I19" s="366"/>
      <c r="J19" s="336">
        <f xml:space="preserve"> IF(ABS(K19) &gt; InpC!$F$9, 1, 0)</f>
        <v>1</v>
      </c>
      <c r="K19" s="85">
        <f t="shared" si="0"/>
        <v>2208.8989999999999</v>
      </c>
      <c r="L19" s="116">
        <f xml:space="preserve"> IF(ABS(K19) &gt; InpC!$F$9, IF(INDEX(M19:O19, $J$5) = 0, 0, H19 / INDEX(M19:O19, $J$5) - 1), 0)</f>
        <v>0</v>
      </c>
      <c r="M19" s="521"/>
      <c r="N19" s="525">
        <v>0</v>
      </c>
      <c r="O19" s="522"/>
    </row>
    <row r="20" spans="1:15">
      <c r="A20" s="361"/>
      <c r="B20" s="365"/>
      <c r="C20" s="361"/>
      <c r="D20" s="366" t="str">
        <f>InpAct!D77</f>
        <v>PR19</v>
      </c>
      <c r="E20" s="366" t="str">
        <f>InpAct!E77</f>
        <v>Water resources- residential apportionment CALC</v>
      </c>
      <c r="F20" s="366">
        <f>InpAct!F77</f>
        <v>0</v>
      </c>
      <c r="G20" s="366" t="str">
        <f>InpAct!G77</f>
        <v>%</v>
      </c>
      <c r="H20" s="67">
        <f>InpAct!H77</f>
        <v>0.76659171210588117</v>
      </c>
      <c r="I20" s="366"/>
      <c r="J20" s="336">
        <f xml:space="preserve"> IF(ABS(K20) &gt; InpC!$F$9, 1, 0)</f>
        <v>1</v>
      </c>
      <c r="K20" s="116">
        <f t="shared" si="0"/>
        <v>0.76659171210588117</v>
      </c>
      <c r="L20" s="116">
        <f xml:space="preserve"> IF(ABS(K20) &gt; InpC!$F$9, IF(INDEX(M20:O20, $J$5) = 0, 0, H20 / INDEX(M20:O20, $J$5) - 1), 0)</f>
        <v>0</v>
      </c>
      <c r="M20" s="497"/>
      <c r="N20" s="543">
        <v>0</v>
      </c>
      <c r="O20" s="330"/>
    </row>
    <row r="21" spans="1:15" s="45" customFormat="1">
      <c r="A21" s="361"/>
      <c r="B21" s="365"/>
      <c r="C21" s="361"/>
      <c r="D21" s="366" t="str">
        <f>InpAct!D78</f>
        <v>PR19</v>
      </c>
      <c r="E21" s="366" t="str">
        <f>InpAct!E78</f>
        <v>Water network - residential apportionment CALC</v>
      </c>
      <c r="F21" s="366">
        <f>InpAct!F78</f>
        <v>0</v>
      </c>
      <c r="G21" s="366" t="str">
        <f>InpAct!G78</f>
        <v>%</v>
      </c>
      <c r="H21" s="67">
        <f>InpAct!H78</f>
        <v>0.75766011799333921</v>
      </c>
      <c r="I21" s="366"/>
      <c r="J21" s="336">
        <f xml:space="preserve"> IF(ABS(K21) &gt; InpC!$F$9, 1, 0)</f>
        <v>1</v>
      </c>
      <c r="K21" s="116">
        <f t="shared" si="0"/>
        <v>0.75766011799333921</v>
      </c>
      <c r="L21" s="116">
        <f xml:space="preserve"> IF(ABS(K21) &gt; InpC!$F$9, IF(INDEX(M21:O21, $J$5) = 0, 0, H21 / INDEX(M21:O21, $J$5) - 1), 0)</f>
        <v>0</v>
      </c>
      <c r="M21" s="521"/>
      <c r="N21" s="543">
        <v>0</v>
      </c>
      <c r="O21" s="522"/>
    </row>
    <row r="22" spans="1:15">
      <c r="A22" s="361"/>
      <c r="B22" s="365"/>
      <c r="C22" s="361"/>
      <c r="D22" s="366" t="str">
        <f>InpAct!D79</f>
        <v>PR19</v>
      </c>
      <c r="E22" s="366" t="str">
        <f>InpAct!E79</f>
        <v>Wastewater network - residential apportionment CALC</v>
      </c>
      <c r="F22" s="366">
        <f>InpAct!F79</f>
        <v>0</v>
      </c>
      <c r="G22" s="366" t="str">
        <f>InpAct!G79</f>
        <v>%</v>
      </c>
      <c r="H22" s="67">
        <f>InpAct!H79</f>
        <v>0.80469926661052749</v>
      </c>
      <c r="I22" s="366"/>
      <c r="J22" s="336">
        <f xml:space="preserve"> IF(ABS(K22) &gt; InpC!$F$9, 1, 0)</f>
        <v>1</v>
      </c>
      <c r="K22" s="116">
        <f t="shared" si="0"/>
        <v>0.80469926661052749</v>
      </c>
      <c r="L22" s="116">
        <f xml:space="preserve"> IF(ABS(K22) &gt; InpC!$F$9, IF(INDEX(M22:O22, $J$5) = 0, 0, H22 / INDEX(M22:O22, $J$5) - 1), 0)</f>
        <v>0</v>
      </c>
      <c r="M22" s="521"/>
      <c r="N22" s="543">
        <v>0</v>
      </c>
      <c r="O22" s="522"/>
    </row>
    <row r="23" spans="1:15">
      <c r="A23" s="361"/>
      <c r="B23" s="365"/>
      <c r="C23" s="361"/>
      <c r="D23" s="366" t="str">
        <f>InpAct!D80</f>
        <v>PR19</v>
      </c>
      <c r="E23" s="366" t="str">
        <f>InpAct!E80</f>
        <v>Bio resources - residential apportionment CALC</v>
      </c>
      <c r="F23" s="366">
        <f>InpAct!F80</f>
        <v>0</v>
      </c>
      <c r="G23" s="366" t="str">
        <f>InpAct!G80</f>
        <v>%</v>
      </c>
      <c r="H23" s="67">
        <f>InpAct!H80</f>
        <v>0.80469926661052749</v>
      </c>
      <c r="I23" s="366"/>
      <c r="J23" s="336">
        <f xml:space="preserve"> IF(ABS(K23) &gt; InpC!$F$9, 1, 0)</f>
        <v>1</v>
      </c>
      <c r="K23" s="116">
        <f t="shared" si="0"/>
        <v>0.80469926661052749</v>
      </c>
      <c r="L23" s="116">
        <f xml:space="preserve"> IF(ABS(K23) &gt; InpC!$F$9, IF(INDEX(M23:O23, $J$5) = 0, 0, H23 / INDEX(M23:O23, $J$5) - 1), 0)</f>
        <v>0</v>
      </c>
      <c r="M23" s="521"/>
      <c r="N23" s="543">
        <v>0</v>
      </c>
      <c r="O23" s="522"/>
    </row>
    <row r="24" spans="1:15">
      <c r="A24" s="361"/>
      <c r="B24" s="365"/>
      <c r="C24" s="361"/>
      <c r="D24" s="366"/>
      <c r="E24" s="366"/>
      <c r="F24" s="366"/>
      <c r="G24" s="67"/>
      <c r="H24" s="67"/>
      <c r="I24" s="366"/>
      <c r="J24" s="336">
        <f xml:space="preserve"> IF(ABS(K24) &gt; InpC!$F$9, 1, 0)</f>
        <v>0</v>
      </c>
      <c r="K24" s="85">
        <f t="shared" si="0"/>
        <v>0</v>
      </c>
      <c r="L24" s="116">
        <f xml:space="preserve"> IF(ABS(K24) &gt; InpC!$F$9, IF(INDEX(M24:O24, $J$5) = 0, 0, H24 / INDEX(M24:O24, $J$5) - 1), 0)</f>
        <v>0</v>
      </c>
      <c r="M24" s="521"/>
      <c r="N24" s="525">
        <v>0</v>
      </c>
      <c r="O24" s="522"/>
    </row>
    <row r="25" spans="1:15" s="45" customFormat="1">
      <c r="A25" s="361"/>
      <c r="B25" s="362"/>
      <c r="C25" s="361" t="s">
        <v>23</v>
      </c>
      <c r="D25" s="361"/>
      <c r="E25" s="363"/>
      <c r="F25" s="363"/>
      <c r="G25" s="363"/>
      <c r="H25" s="364"/>
      <c r="I25" s="358"/>
      <c r="J25" s="336">
        <f xml:space="preserve"> IF(ABS(K25) &gt; InpC!$F$9, 1, 0)</f>
        <v>0</v>
      </c>
      <c r="K25" s="85">
        <f t="shared" si="0"/>
        <v>0</v>
      </c>
      <c r="L25" s="116">
        <f xml:space="preserve"> IF(ABS(K25) &gt; InpC!$F$9, IF(INDEX(M25:O25, $J$5) = 0, 0, H25 / INDEX(M25:O25, $J$5) - 1), 0)</f>
        <v>0</v>
      </c>
      <c r="M25" s="497"/>
      <c r="N25" s="525">
        <v>0</v>
      </c>
      <c r="O25" s="330"/>
    </row>
    <row r="26" spans="1:15">
      <c r="A26" s="361"/>
      <c r="B26" s="365"/>
      <c r="C26" s="361"/>
      <c r="D26" s="366" t="str">
        <f>InpAct!D92</f>
        <v>PR19</v>
      </c>
      <c r="E26" s="366" t="str">
        <f>InpAct!E92</f>
        <v>Totex - net of grants and contributions - WR (post sensi adj) - nominal</v>
      </c>
      <c r="F26" s="366">
        <f>InpAct!F92</f>
        <v>0</v>
      </c>
      <c r="G26" s="366" t="str">
        <f>InpAct!G92</f>
        <v>£m</v>
      </c>
      <c r="H26" s="366">
        <f>InpAct!H92</f>
        <v>125.5936248111251</v>
      </c>
      <c r="I26" s="366"/>
      <c r="J26" s="336">
        <f xml:space="preserve"> IF(ABS(K26) &gt; InpC!$F$9, 1, 0)</f>
        <v>1</v>
      </c>
      <c r="K26" s="85">
        <f t="shared" si="0"/>
        <v>125.5936248111251</v>
      </c>
      <c r="L26" s="116">
        <f xml:space="preserve"> IF(ABS(K26) &gt; InpC!$F$9, IF(INDEX(M26:O26, $J$5) = 0, 0, H26 / INDEX(M26:O26, $J$5) - 1), 0)</f>
        <v>0</v>
      </c>
      <c r="M26" s="521"/>
      <c r="N26" s="525">
        <v>0</v>
      </c>
      <c r="O26" s="522"/>
    </row>
    <row r="27" spans="1:15" s="45" customFormat="1">
      <c r="A27" s="361"/>
      <c r="B27" s="365"/>
      <c r="C27" s="361"/>
      <c r="D27" s="366" t="str">
        <f>InpAct!D93</f>
        <v>PR19</v>
      </c>
      <c r="E27" s="366" t="str">
        <f>InpAct!E93</f>
        <v>Totex - net of grants and contributions - WN (post sensi adj) - nominal</v>
      </c>
      <c r="F27" s="366">
        <f>InpAct!F93</f>
        <v>0</v>
      </c>
      <c r="G27" s="366" t="str">
        <f>InpAct!G93</f>
        <v>£m</v>
      </c>
      <c r="H27" s="366">
        <f>InpAct!H93</f>
        <v>1006.9333628441664</v>
      </c>
      <c r="I27" s="366"/>
      <c r="J27" s="336">
        <f xml:space="preserve"> IF(ABS(K27) &gt; InpC!$F$9, 1, 0)</f>
        <v>1</v>
      </c>
      <c r="K27" s="85">
        <f t="shared" si="0"/>
        <v>1006.9333628441664</v>
      </c>
      <c r="L27" s="116">
        <f xml:space="preserve"> IF(ABS(K27) &gt; InpC!$F$9, IF(INDEX(M27:O27, $J$5) = 0, 0, H27 / INDEX(M27:O27, $J$5) - 1), 0)</f>
        <v>0</v>
      </c>
      <c r="M27" s="521"/>
      <c r="N27" s="525">
        <v>0</v>
      </c>
      <c r="O27" s="522"/>
    </row>
    <row r="28" spans="1:15">
      <c r="A28" s="361"/>
      <c r="B28" s="365"/>
      <c r="C28" s="361"/>
      <c r="D28" s="366" t="str">
        <f>InpAct!D94</f>
        <v>PR19</v>
      </c>
      <c r="E28" s="366" t="str">
        <f>InpAct!E94</f>
        <v>Totex - net of grants and contributions - WWN (post sensi adj) - nominal</v>
      </c>
      <c r="F28" s="366">
        <f>InpAct!F94</f>
        <v>0</v>
      </c>
      <c r="G28" s="366" t="str">
        <f>InpAct!G94</f>
        <v>£m</v>
      </c>
      <c r="H28" s="366">
        <f>InpAct!H94</f>
        <v>855.60094786309423</v>
      </c>
      <c r="I28" s="366"/>
      <c r="J28" s="336">
        <f xml:space="preserve"> IF(ABS(K28) &gt; InpC!$F$9, 1, 0)</f>
        <v>1</v>
      </c>
      <c r="K28" s="85">
        <f t="shared" si="0"/>
        <v>855.60094786309423</v>
      </c>
      <c r="L28" s="116">
        <f xml:space="preserve"> IF(ABS(K28) &gt; InpC!$F$9, IF(INDEX(M28:O28, $J$5) = 0, 0, H28 / INDEX(M28:O28, $J$5) - 1), 0)</f>
        <v>0</v>
      </c>
      <c r="M28" s="521"/>
      <c r="N28" s="525">
        <v>0</v>
      </c>
      <c r="O28" s="522"/>
    </row>
    <row r="29" spans="1:15" s="45" customFormat="1">
      <c r="A29" s="361"/>
      <c r="B29" s="365"/>
      <c r="C29" s="361"/>
      <c r="D29" s="366" t="str">
        <f>InpAct!D95</f>
        <v>PR19</v>
      </c>
      <c r="E29" s="366" t="str">
        <f>InpAct!E95</f>
        <v>Totex - net of grants and contributions - BR (post sensi adj) - nominal</v>
      </c>
      <c r="F29" s="366">
        <f>InpAct!F95</f>
        <v>0</v>
      </c>
      <c r="G29" s="366" t="str">
        <f>InpAct!G95</f>
        <v>£m</v>
      </c>
      <c r="H29" s="366">
        <f>InpAct!H95</f>
        <v>125.41159438266808</v>
      </c>
      <c r="I29" s="366"/>
      <c r="J29" s="336">
        <f xml:space="preserve"> IF(ABS(K29) &gt; InpC!$F$9, 1, 0)</f>
        <v>1</v>
      </c>
      <c r="K29" s="85">
        <f t="shared" si="0"/>
        <v>125.41159438266808</v>
      </c>
      <c r="L29" s="116">
        <f xml:space="preserve"> IF(ABS(K29) &gt; InpC!$F$9, IF(INDEX(M29:O29, $J$5) = 0, 0, H29 / INDEX(M29:O29, $J$5) - 1), 0)</f>
        <v>0</v>
      </c>
      <c r="M29" s="497"/>
      <c r="N29" s="525">
        <v>0</v>
      </c>
      <c r="O29" s="330"/>
    </row>
    <row r="30" spans="1:15" s="45" customFormat="1">
      <c r="A30" s="361"/>
      <c r="B30" s="365"/>
      <c r="C30" s="361"/>
      <c r="D30" s="366" t="str">
        <f>InpAct!D101</f>
        <v>PR19</v>
      </c>
      <c r="E30" s="366" t="str">
        <f>InpAct!E101</f>
        <v>PAYG% - water resources - active - WR</v>
      </c>
      <c r="F30" s="366">
        <f>InpAct!F101</f>
        <v>0</v>
      </c>
      <c r="G30" s="366" t="str">
        <f>InpAct!G101</f>
        <v>%</v>
      </c>
      <c r="H30" s="67">
        <f>InpAct!H101</f>
        <v>0.62191160288316938</v>
      </c>
      <c r="I30" s="366"/>
      <c r="J30" s="336">
        <f xml:space="preserve"> IF(ABS(K30) &gt; InpC!$F$9, 1, 0)</f>
        <v>1</v>
      </c>
      <c r="K30" s="116">
        <f t="shared" si="0"/>
        <v>0.62191160288316938</v>
      </c>
      <c r="L30" s="116">
        <f xml:space="preserve"> IF(ABS(K30) &gt; InpC!$F$9, IF(INDEX(M30:O30, $J$5) = 0, 0, H30 / INDEX(M30:O30, $J$5) - 1), 0)</f>
        <v>0</v>
      </c>
      <c r="M30" s="521"/>
      <c r="N30" s="543">
        <v>0</v>
      </c>
      <c r="O30" s="522"/>
    </row>
    <row r="31" spans="1:15">
      <c r="A31" s="361"/>
      <c r="B31" s="365"/>
      <c r="C31" s="361"/>
      <c r="D31" s="366" t="str">
        <f>InpAct!D102</f>
        <v>PR19</v>
      </c>
      <c r="E31" s="366" t="str">
        <f>InpAct!E102</f>
        <v>PAYG% - water network - active - WN</v>
      </c>
      <c r="F31" s="366">
        <f>InpAct!F102</f>
        <v>0</v>
      </c>
      <c r="G31" s="366" t="str">
        <f>InpAct!G102</f>
        <v>%</v>
      </c>
      <c r="H31" s="67">
        <f>InpAct!H102</f>
        <v>0.40184699779858335</v>
      </c>
      <c r="I31" s="366"/>
      <c r="J31" s="336">
        <f xml:space="preserve"> IF(ABS(K31) &gt; InpC!$F$9, 1, 0)</f>
        <v>1</v>
      </c>
      <c r="K31" s="116">
        <f t="shared" si="0"/>
        <v>0.40184699779858335</v>
      </c>
      <c r="L31" s="116">
        <f xml:space="preserve"> IF(ABS(K31) &gt; InpC!$F$9, IF(INDEX(M31:O31, $J$5) = 0, 0, H31 / INDEX(M31:O31, $J$5) - 1), 0)</f>
        <v>0</v>
      </c>
      <c r="M31" s="521"/>
      <c r="N31" s="543">
        <v>0</v>
      </c>
      <c r="O31" s="522"/>
    </row>
    <row r="32" spans="1:15" s="45" customFormat="1">
      <c r="A32" s="361"/>
      <c r="B32" s="365"/>
      <c r="C32" s="361"/>
      <c r="D32" s="366" t="str">
        <f>InpAct!D103</f>
        <v>PR19</v>
      </c>
      <c r="E32" s="366" t="str">
        <f>InpAct!E103</f>
        <v>PAYG% - wastewater network - active - WWN</v>
      </c>
      <c r="F32" s="366">
        <f>InpAct!F103</f>
        <v>0</v>
      </c>
      <c r="G32" s="366" t="str">
        <f>InpAct!G103</f>
        <v>%</v>
      </c>
      <c r="H32" s="67">
        <f>InpAct!H103</f>
        <v>0.41067066495728044</v>
      </c>
      <c r="I32" s="366"/>
      <c r="J32" s="336">
        <f xml:space="preserve"> IF(ABS(K32) &gt; InpC!$F$9, 1, 0)</f>
        <v>1</v>
      </c>
      <c r="K32" s="116">
        <f t="shared" si="0"/>
        <v>0.41067066495728044</v>
      </c>
      <c r="L32" s="116">
        <f xml:space="preserve"> IF(ABS(K32) &gt; InpC!$F$9, IF(INDEX(M32:O32, $J$5) = 0, 0, H32 / INDEX(M32:O32, $J$5) - 1), 0)</f>
        <v>0</v>
      </c>
      <c r="M32" s="497"/>
      <c r="N32" s="543">
        <v>0</v>
      </c>
      <c r="O32" s="330"/>
    </row>
    <row r="33" spans="1:15">
      <c r="A33" s="361"/>
      <c r="B33" s="365"/>
      <c r="C33" s="361"/>
      <c r="D33" s="366" t="str">
        <f>InpAct!D104</f>
        <v>PR19</v>
      </c>
      <c r="E33" s="366" t="str">
        <f>InpAct!E104</f>
        <v>PAYG% - bio resources - active - BR</v>
      </c>
      <c r="F33" s="366">
        <f>InpAct!F104</f>
        <v>0</v>
      </c>
      <c r="G33" s="366" t="str">
        <f>InpAct!G104</f>
        <v>%</v>
      </c>
      <c r="H33" s="67">
        <f>InpAct!H104</f>
        <v>0.43676135196830124</v>
      </c>
      <c r="I33" s="366"/>
      <c r="J33" s="336">
        <f xml:space="preserve"> IF(ABS(K33) &gt; InpC!$F$9, 1, 0)</f>
        <v>1</v>
      </c>
      <c r="K33" s="116">
        <f t="shared" si="0"/>
        <v>0.43676135196830124</v>
      </c>
      <c r="L33" s="116">
        <f xml:space="preserve"> IF(ABS(K33) &gt; InpC!$F$9, IF(INDEX(M33:O33, $J$5) = 0, 0, H33 / INDEX(M33:O33, $J$5) - 1), 0)</f>
        <v>0</v>
      </c>
      <c r="M33" s="497"/>
      <c r="N33" s="543">
        <v>0</v>
      </c>
      <c r="O33" s="330"/>
    </row>
    <row r="34" spans="1:15">
      <c r="A34" s="361"/>
      <c r="B34" s="365"/>
      <c r="C34" s="361"/>
      <c r="D34" s="366"/>
      <c r="E34" s="366"/>
      <c r="F34" s="366"/>
      <c r="G34" s="366"/>
      <c r="H34" s="67"/>
      <c r="I34" s="366"/>
      <c r="J34" s="336">
        <f xml:space="preserve"> IF(ABS(K34) &gt; InpC!$F$9, 1, 0)</f>
        <v>0</v>
      </c>
      <c r="K34" s="85">
        <f t="shared" si="0"/>
        <v>0</v>
      </c>
      <c r="L34" s="116">
        <f xml:space="preserve"> IF(ABS(K34) &gt; InpC!$F$9, IF(INDEX(M34:O34, $J$5) = 0, 0, H34 / INDEX(M34:O34, $J$5) - 1), 0)</f>
        <v>0</v>
      </c>
      <c r="M34" s="497"/>
      <c r="N34" s="525">
        <v>0</v>
      </c>
      <c r="O34" s="330"/>
    </row>
    <row r="35" spans="1:15">
      <c r="A35" s="361"/>
      <c r="B35" s="362"/>
      <c r="C35" s="361" t="s">
        <v>257</v>
      </c>
      <c r="D35" s="361"/>
      <c r="E35" s="363"/>
      <c r="F35" s="363"/>
      <c r="G35" s="363"/>
      <c r="H35" s="364"/>
      <c r="I35" s="366"/>
      <c r="J35" s="336">
        <f xml:space="preserve"> IF(ABS(K35) &gt; InpC!$F$9, 1, 0)</f>
        <v>0</v>
      </c>
      <c r="K35" s="85">
        <f t="shared" si="0"/>
        <v>0</v>
      </c>
      <c r="L35" s="116">
        <f xml:space="preserve"> IF(ABS(K35) &gt; InpC!$F$9, IF(INDEX(M35:O35, $J$5) = 0, 0, H35 / INDEX(M35:O35, $J$5) - 1), 0)</f>
        <v>0</v>
      </c>
      <c r="M35" s="497"/>
      <c r="N35" s="525">
        <v>0</v>
      </c>
      <c r="O35" s="330"/>
    </row>
    <row r="36" spans="1:15">
      <c r="A36" s="361"/>
      <c r="B36" s="362"/>
      <c r="C36" s="361"/>
      <c r="D36" s="366" t="str">
        <f>InpAct!D132</f>
        <v>PR19</v>
      </c>
      <c r="E36" s="366" t="str">
        <f>InpAct!E132</f>
        <v>RCV CPI(H) bf balance BEG - WR - nominal</v>
      </c>
      <c r="F36" s="366">
        <f>InpAct!F132</f>
        <v>0</v>
      </c>
      <c r="G36" s="366" t="str">
        <f>InpAct!G132</f>
        <v>£m</v>
      </c>
      <c r="H36" s="366">
        <f>InpAct!H132</f>
        <v>141.66676100153128</v>
      </c>
      <c r="I36" s="366"/>
      <c r="J36" s="336">
        <f xml:space="preserve"> IF(ABS(K36) &gt; InpC!$F$9, 1, 0)</f>
        <v>1</v>
      </c>
      <c r="K36" s="85">
        <f t="shared" si="0"/>
        <v>141.66676100153128</v>
      </c>
      <c r="L36" s="116">
        <f xml:space="preserve"> IF(ABS(K36) &gt; InpC!$F$9, IF(INDEX(M36:O36, $J$5) = 0, 0, H36 / INDEX(M36:O36, $J$5) - 1), 0)</f>
        <v>0</v>
      </c>
      <c r="M36" s="497"/>
      <c r="N36" s="525">
        <v>0</v>
      </c>
      <c r="O36" s="330"/>
    </row>
    <row r="37" spans="1:15">
      <c r="A37" s="361"/>
      <c r="B37" s="362"/>
      <c r="C37" s="361"/>
      <c r="D37" s="366" t="str">
        <f>InpAct!D143</f>
        <v>PR19</v>
      </c>
      <c r="E37" s="366" t="str">
        <f>InpAct!E143</f>
        <v>Water resources: Non-PAYG Totex - nominal</v>
      </c>
      <c r="F37" s="366">
        <f>InpAct!F143</f>
        <v>0</v>
      </c>
      <c r="G37" s="366" t="str">
        <f>InpAct!G143</f>
        <v>£m</v>
      </c>
      <c r="H37" s="366">
        <f>InpAct!H143</f>
        <v>47.4854922929309</v>
      </c>
      <c r="I37" s="366"/>
      <c r="J37" s="336">
        <f xml:space="preserve"> IF(ABS(K37) &gt; InpC!$F$9, 1, 0)</f>
        <v>1</v>
      </c>
      <c r="K37" s="85">
        <f t="shared" si="0"/>
        <v>47.4854922929309</v>
      </c>
      <c r="L37" s="116">
        <f xml:space="preserve"> IF(ABS(K37) &gt; InpC!$F$9, IF(INDEX(M37:O37, $J$5) = 0, 0, H37 / INDEX(M37:O37, $J$5) - 1), 0)</f>
        <v>0</v>
      </c>
      <c r="M37" s="497"/>
      <c r="N37" s="525">
        <v>0</v>
      </c>
      <c r="O37" s="330"/>
    </row>
    <row r="38" spans="1:15">
      <c r="A38" s="361"/>
      <c r="B38" s="362"/>
      <c r="C38" s="361"/>
      <c r="D38" s="366" t="str">
        <f>InpAct!D150</f>
        <v>PR19</v>
      </c>
      <c r="E38" s="366" t="str">
        <f>InpAct!E150</f>
        <v>RCV CPI(H) bf balance BEG - WN - nominal</v>
      </c>
      <c r="F38" s="366">
        <f>InpAct!F150</f>
        <v>0</v>
      </c>
      <c r="G38" s="366" t="str">
        <f>InpAct!G150</f>
        <v>£m</v>
      </c>
      <c r="H38" s="366">
        <f>InpAct!H150</f>
        <v>2759.9548919172926</v>
      </c>
      <c r="I38" s="366"/>
      <c r="J38" s="336">
        <f xml:space="preserve"> IF(ABS(K38) &gt; InpC!$F$9, 1, 0)</f>
        <v>1</v>
      </c>
      <c r="K38" s="85">
        <f t="shared" si="0"/>
        <v>2759.9548919172926</v>
      </c>
      <c r="L38" s="116">
        <f xml:space="preserve"> IF(ABS(K38) &gt; InpC!$F$9, IF(INDEX(M38:O38, $J$5) = 0, 0, H38 / INDEX(M38:O38, $J$5) - 1), 0)</f>
        <v>0</v>
      </c>
      <c r="M38" s="497"/>
      <c r="N38" s="525">
        <v>0</v>
      </c>
      <c r="O38" s="330"/>
    </row>
    <row r="39" spans="1:15">
      <c r="A39" s="361"/>
      <c r="B39" s="362"/>
      <c r="C39" s="361"/>
      <c r="D39" s="366" t="str">
        <f>InpAct!D161</f>
        <v>PR19</v>
      </c>
      <c r="E39" s="366" t="str">
        <f>InpAct!E161</f>
        <v>Water network: Non-PAYG Totex - nominal</v>
      </c>
      <c r="F39" s="366">
        <f>InpAct!F161</f>
        <v>0</v>
      </c>
      <c r="G39" s="366" t="str">
        <f>InpAct!G161</f>
        <v>£m</v>
      </c>
      <c r="H39" s="366">
        <f>InpAct!H161</f>
        <v>602.30021400200656</v>
      </c>
      <c r="I39" s="366"/>
      <c r="J39" s="336">
        <f xml:space="preserve"> IF(ABS(K39) &gt; InpC!$F$9, 1, 0)</f>
        <v>1</v>
      </c>
      <c r="K39" s="85">
        <f t="shared" si="0"/>
        <v>602.30021400200656</v>
      </c>
      <c r="L39" s="116">
        <f xml:space="preserve"> IF(ABS(K39) &gt; InpC!$F$9, IF(INDEX(M39:O39, $J$5) = 0, 0, H39 / INDEX(M39:O39, $J$5) - 1), 0)</f>
        <v>0</v>
      </c>
      <c r="M39" s="497"/>
      <c r="N39" s="525">
        <v>0</v>
      </c>
      <c r="O39" s="330"/>
    </row>
    <row r="40" spans="1:15">
      <c r="A40" s="361"/>
      <c r="B40" s="362"/>
      <c r="C40" s="361"/>
      <c r="D40" s="366" t="str">
        <f>InpAct!D168</f>
        <v>PR19</v>
      </c>
      <c r="E40" s="366" t="str">
        <f>InpAct!E168</f>
        <v>RCV CPI(H) bf balance BEG - WWN - nominal</v>
      </c>
      <c r="F40" s="366">
        <f>InpAct!F168</f>
        <v>0</v>
      </c>
      <c r="G40" s="366" t="str">
        <f>InpAct!G168</f>
        <v>£m</v>
      </c>
      <c r="H40" s="366">
        <f>InpAct!H168</f>
        <v>2270.9554349450482</v>
      </c>
      <c r="I40" s="366"/>
      <c r="J40" s="336">
        <f xml:space="preserve"> IF(ABS(K40) &gt; InpC!$F$9, 1, 0)</f>
        <v>1</v>
      </c>
      <c r="K40" s="85">
        <f t="shared" si="0"/>
        <v>2270.9554349450482</v>
      </c>
      <c r="L40" s="116">
        <f xml:space="preserve"> IF(ABS(K40) &gt; InpC!$F$9, IF(INDEX(M40:O40, $J$5) = 0, 0, H40 / INDEX(M40:O40, $J$5) - 1), 0)</f>
        <v>0</v>
      </c>
      <c r="M40" s="497"/>
      <c r="N40" s="525">
        <v>0</v>
      </c>
      <c r="O40" s="330"/>
    </row>
    <row r="41" spans="1:15">
      <c r="A41" s="361"/>
      <c r="B41" s="362"/>
      <c r="C41" s="361"/>
      <c r="D41" s="366" t="str">
        <f>InpAct!D179</f>
        <v>PR19</v>
      </c>
      <c r="E41" s="366" t="str">
        <f>InpAct!E179</f>
        <v>Wastewater network: Non-PAYG Totex - nominal</v>
      </c>
      <c r="F41" s="366">
        <f>InpAct!F179</f>
        <v>0</v>
      </c>
      <c r="G41" s="366" t="str">
        <f>InpAct!G179</f>
        <v>£m</v>
      </c>
      <c r="H41" s="366">
        <f>InpAct!H179</f>
        <v>504.23073766607791</v>
      </c>
      <c r="I41" s="366"/>
      <c r="J41" s="336">
        <f xml:space="preserve"> IF(ABS(K41) &gt; InpC!$F$9, 1, 0)</f>
        <v>1</v>
      </c>
      <c r="K41" s="85">
        <f t="shared" si="0"/>
        <v>504.23073766607791</v>
      </c>
      <c r="L41" s="116">
        <f xml:space="preserve"> IF(ABS(K41) &gt; InpC!$F$9, IF(INDEX(M41:O41, $J$5) = 0, 0, H41 / INDEX(M41:O41, $J$5) - 1), 0)</f>
        <v>0</v>
      </c>
      <c r="M41" s="497"/>
      <c r="N41" s="525">
        <v>0</v>
      </c>
      <c r="O41" s="330"/>
    </row>
    <row r="42" spans="1:15">
      <c r="A42" s="361"/>
      <c r="B42" s="362"/>
      <c r="C42" s="361"/>
      <c r="D42" s="366" t="str">
        <f>InpAct!D186</f>
        <v>PR19</v>
      </c>
      <c r="E42" s="366" t="str">
        <f>InpAct!E186</f>
        <v>RCV CPI(H) bf balance BEG - BR - nominal</v>
      </c>
      <c r="F42" s="366">
        <f>InpAct!F186</f>
        <v>0</v>
      </c>
      <c r="G42" s="366" t="str">
        <f>InpAct!G186</f>
        <v>£m</v>
      </c>
      <c r="H42" s="366">
        <f>InpAct!H186</f>
        <v>706.62296652750103</v>
      </c>
      <c r="I42" s="366"/>
      <c r="J42" s="336">
        <f xml:space="preserve"> IF(ABS(K42) &gt; InpC!$F$9, 1, 0)</f>
        <v>1</v>
      </c>
      <c r="K42" s="85">
        <f t="shared" si="0"/>
        <v>706.62296652750103</v>
      </c>
      <c r="L42" s="116">
        <f xml:space="preserve"> IF(ABS(K42) &gt; InpC!$F$9, IF(INDEX(M42:O42, $J$5) = 0, 0, H42 / INDEX(M42:O42, $J$5) - 1), 0)</f>
        <v>0</v>
      </c>
      <c r="M42" s="497"/>
      <c r="N42" s="525">
        <v>0</v>
      </c>
      <c r="O42" s="330"/>
    </row>
    <row r="43" spans="1:15">
      <c r="A43" s="361"/>
      <c r="B43" s="362"/>
      <c r="C43" s="361"/>
      <c r="D43" s="366" t="str">
        <f>InpAct!D197</f>
        <v>PR19</v>
      </c>
      <c r="E43" s="366" t="str">
        <f>InpAct!E197</f>
        <v>Bio resources: Non-PAYG Totex - nominal</v>
      </c>
      <c r="F43" s="366">
        <f>InpAct!F197</f>
        <v>0</v>
      </c>
      <c r="G43" s="366" t="str">
        <f>InpAct!G197</f>
        <v>£m</v>
      </c>
      <c r="H43" s="366">
        <f>InpAct!H197</f>
        <v>70.636656867593757</v>
      </c>
      <c r="I43" s="366"/>
      <c r="J43" s="336">
        <f xml:space="preserve"> IF(ABS(K43) &gt; InpC!$F$9, 1, 0)</f>
        <v>1</v>
      </c>
      <c r="K43" s="85">
        <f t="shared" ref="K43:K74" si="1" xml:space="preserve"> H43 - INDEX(M43:O43, $J$5)</f>
        <v>70.636656867593757</v>
      </c>
      <c r="L43" s="116">
        <f xml:space="preserve"> IF(ABS(K43) &gt; InpC!$F$9, IF(INDEX(M43:O43, $J$5) = 0, 0, H43 / INDEX(M43:O43, $J$5) - 1), 0)</f>
        <v>0</v>
      </c>
      <c r="M43" s="497"/>
      <c r="N43" s="525">
        <v>0</v>
      </c>
      <c r="O43" s="330"/>
    </row>
    <row r="44" spans="1:15">
      <c r="A44" s="361"/>
      <c r="B44" s="365"/>
      <c r="C44" s="361"/>
      <c r="D44" s="366" t="str">
        <f>InpAct!D145</f>
        <v>PR19</v>
      </c>
      <c r="E44" s="366" t="str">
        <f>InpAct!E145</f>
        <v>Run-off rate - CPI(H) - active - WR</v>
      </c>
      <c r="F44" s="366">
        <f>InpAct!F145</f>
        <v>0</v>
      </c>
      <c r="G44" s="366" t="str">
        <f>InpAct!G145</f>
        <v>%</v>
      </c>
      <c r="H44" s="67">
        <f>InpAct!H145</f>
        <v>3.8908454928127709E-2</v>
      </c>
      <c r="I44" s="366"/>
      <c r="J44" s="336">
        <f xml:space="preserve"> IF(ABS(K44) &gt; InpC!$F$9, 1, 0)</f>
        <v>1</v>
      </c>
      <c r="K44" s="116">
        <f t="shared" si="1"/>
        <v>3.8908454928127709E-2</v>
      </c>
      <c r="L44" s="116">
        <f xml:space="preserve"> IF(ABS(K44) &gt; InpC!$F$9, IF(INDEX(M44:O44, $J$5) = 0, 0, H44 / INDEX(M44:O44, $J$5) - 1), 0)</f>
        <v>0</v>
      </c>
      <c r="M44" s="497"/>
      <c r="N44" s="543">
        <v>0</v>
      </c>
      <c r="O44" s="330"/>
    </row>
    <row r="45" spans="1:15">
      <c r="A45" s="361"/>
      <c r="B45" s="365"/>
      <c r="C45" s="361"/>
      <c r="D45" s="366" t="str">
        <f>InpAct!D146</f>
        <v>PR19</v>
      </c>
      <c r="E45" s="366" t="str">
        <f>InpAct!E146</f>
        <v>Run-off rate - CPI(H) + RPI wedge - active - WR</v>
      </c>
      <c r="F45" s="366">
        <f>InpAct!F146</f>
        <v>0</v>
      </c>
      <c r="G45" s="366" t="str">
        <f>InpAct!G146</f>
        <v>%</v>
      </c>
      <c r="H45" s="67">
        <f>InpAct!H146</f>
        <v>3.8908454928127709E-2</v>
      </c>
      <c r="I45" s="366"/>
      <c r="J45" s="336">
        <f xml:space="preserve"> IF(ABS(K45) &gt; InpC!$F$9, 1, 0)</f>
        <v>1</v>
      </c>
      <c r="K45" s="116">
        <f t="shared" si="1"/>
        <v>3.8908454928127709E-2</v>
      </c>
      <c r="L45" s="116">
        <f xml:space="preserve"> IF(ABS(K45) &gt; InpC!$F$9, IF(INDEX(M45:O45, $J$5) = 0, 0, H45 / INDEX(M45:O45, $J$5) - 1), 0)</f>
        <v>0</v>
      </c>
      <c r="M45" s="497"/>
      <c r="N45" s="543">
        <v>0</v>
      </c>
      <c r="O45" s="330"/>
    </row>
    <row r="46" spans="1:15">
      <c r="A46" s="361"/>
      <c r="B46" s="365"/>
      <c r="C46" s="361"/>
      <c r="D46" s="366" t="str">
        <f>InpAct!D147</f>
        <v>PR19</v>
      </c>
      <c r="E46" s="366" t="str">
        <f>InpAct!E147</f>
        <v>Run-off rate - RCV additions - active - WR</v>
      </c>
      <c r="F46" s="366">
        <f>InpAct!F147</f>
        <v>0</v>
      </c>
      <c r="G46" s="366" t="str">
        <f>InpAct!G147</f>
        <v>%</v>
      </c>
      <c r="H46" s="67">
        <f>InpAct!H147</f>
        <v>4.4337374717674384E-2</v>
      </c>
      <c r="I46" s="366"/>
      <c r="J46" s="336">
        <f xml:space="preserve"> IF(ABS(K46) &gt; InpC!$F$9, 1, 0)</f>
        <v>1</v>
      </c>
      <c r="K46" s="116">
        <f t="shared" si="1"/>
        <v>4.4337374717674384E-2</v>
      </c>
      <c r="L46" s="116">
        <f xml:space="preserve"> IF(ABS(K46) &gt; InpC!$F$9, IF(INDEX(M46:O46, $J$5) = 0, 0, H46 / INDEX(M46:O46, $J$5) - 1), 0)</f>
        <v>0</v>
      </c>
      <c r="M46" s="497"/>
      <c r="N46" s="543">
        <v>0</v>
      </c>
      <c r="O46" s="330"/>
    </row>
    <row r="47" spans="1:15">
      <c r="A47" s="361"/>
      <c r="B47" s="365"/>
      <c r="C47" s="361"/>
      <c r="D47" s="366" t="str">
        <f>InpAct!D163</f>
        <v>PR19</v>
      </c>
      <c r="E47" s="366" t="str">
        <f>InpAct!E163</f>
        <v>Run-off rate - CPI(H) - active - WN</v>
      </c>
      <c r="F47" s="366">
        <f>InpAct!F163</f>
        <v>0</v>
      </c>
      <c r="G47" s="366" t="str">
        <f>InpAct!G163</f>
        <v>%</v>
      </c>
      <c r="H47" s="67">
        <f>InpAct!H163</f>
        <v>4.3484507165619517E-2</v>
      </c>
      <c r="I47" s="366"/>
      <c r="J47" s="336">
        <f xml:space="preserve"> IF(ABS(K47) &gt; InpC!$F$9, 1, 0)</f>
        <v>1</v>
      </c>
      <c r="K47" s="116">
        <f t="shared" si="1"/>
        <v>4.3484507165619517E-2</v>
      </c>
      <c r="L47" s="116">
        <f xml:space="preserve"> IF(ABS(K47) &gt; InpC!$F$9, IF(INDEX(M47:O47, $J$5) = 0, 0, H47 / INDEX(M47:O47, $J$5) - 1), 0)</f>
        <v>0</v>
      </c>
      <c r="M47" s="497"/>
      <c r="N47" s="543">
        <v>0</v>
      </c>
      <c r="O47" s="330"/>
    </row>
    <row r="48" spans="1:15">
      <c r="A48" s="361"/>
      <c r="B48" s="365"/>
      <c r="C48" s="361"/>
      <c r="D48" s="366" t="str">
        <f>InpAct!D164</f>
        <v>PR19</v>
      </c>
      <c r="E48" s="366" t="str">
        <f>InpAct!E164</f>
        <v>Run-off rate - CPI(H) + RPI wedge - active - WN</v>
      </c>
      <c r="F48" s="366">
        <f>InpAct!F164</f>
        <v>0</v>
      </c>
      <c r="G48" s="366" t="str">
        <f>InpAct!G164</f>
        <v>%</v>
      </c>
      <c r="H48" s="67">
        <f>InpAct!H164</f>
        <v>4.51122655078528E-2</v>
      </c>
      <c r="I48" s="366"/>
      <c r="J48" s="336">
        <f xml:space="preserve"> IF(ABS(K48) &gt; InpC!$F$9, 1, 0)</f>
        <v>1</v>
      </c>
      <c r="K48" s="116">
        <f t="shared" si="1"/>
        <v>4.51122655078528E-2</v>
      </c>
      <c r="L48" s="116">
        <f xml:space="preserve"> IF(ABS(K48) &gt; InpC!$F$9, IF(INDEX(M48:O48, $J$5) = 0, 0, H48 / INDEX(M48:O48, $J$5) - 1), 0)</f>
        <v>0</v>
      </c>
      <c r="M48" s="497"/>
      <c r="N48" s="543">
        <v>0</v>
      </c>
      <c r="O48" s="330"/>
    </row>
    <row r="49" spans="1:15">
      <c r="A49" s="361"/>
      <c r="B49" s="365"/>
      <c r="C49" s="361"/>
      <c r="D49" s="366" t="str">
        <f>InpAct!D165</f>
        <v>PR19</v>
      </c>
      <c r="E49" s="366" t="str">
        <f>InpAct!E165</f>
        <v>Run-off rate - RCV additions - active - WN</v>
      </c>
      <c r="F49" s="366">
        <f>InpAct!F165</f>
        <v>0</v>
      </c>
      <c r="G49" s="366" t="str">
        <f>InpAct!G165</f>
        <v>%</v>
      </c>
      <c r="H49" s="67">
        <f>InpAct!H165</f>
        <v>4.3484507165619517E-2</v>
      </c>
      <c r="I49" s="366"/>
      <c r="J49" s="336">
        <f xml:space="preserve"> IF(ABS(K49) &gt; InpC!$F$9, 1, 0)</f>
        <v>1</v>
      </c>
      <c r="K49" s="116">
        <f t="shared" si="1"/>
        <v>4.3484507165619517E-2</v>
      </c>
      <c r="L49" s="116">
        <f xml:space="preserve"> IF(ABS(K49) &gt; InpC!$F$9, IF(INDEX(M49:O49, $J$5) = 0, 0, H49 / INDEX(M49:O49, $J$5) - 1), 0)</f>
        <v>0</v>
      </c>
      <c r="M49" s="497"/>
      <c r="N49" s="543">
        <v>0</v>
      </c>
      <c r="O49" s="330"/>
    </row>
    <row r="50" spans="1:15">
      <c r="A50" s="361"/>
      <c r="B50" s="365"/>
      <c r="C50" s="361"/>
      <c r="D50" s="366" t="str">
        <f>InpAct!D181</f>
        <v>PR19</v>
      </c>
      <c r="E50" s="366" t="str">
        <f>InpAct!E181</f>
        <v>Run-off rate - CPI(H) - active - WWN</v>
      </c>
      <c r="F50" s="366">
        <f>InpAct!F181</f>
        <v>0</v>
      </c>
      <c r="G50" s="366" t="str">
        <f>InpAct!G181</f>
        <v>%</v>
      </c>
      <c r="H50" s="67">
        <f>InpAct!H181</f>
        <v>5.3207581341717006E-2</v>
      </c>
      <c r="I50" s="366"/>
      <c r="J50" s="336">
        <f xml:space="preserve"> IF(ABS(K50) &gt; InpC!$F$9, 1, 0)</f>
        <v>1</v>
      </c>
      <c r="K50" s="116">
        <f t="shared" si="1"/>
        <v>5.3207581341717006E-2</v>
      </c>
      <c r="L50" s="116">
        <f xml:space="preserve"> IF(ABS(K50) &gt; InpC!$F$9, IF(INDEX(M50:O50, $J$5) = 0, 0, H50 / INDEX(M50:O50, $J$5) - 1), 0)</f>
        <v>0</v>
      </c>
      <c r="M50" s="497"/>
      <c r="N50" s="543">
        <v>0</v>
      </c>
      <c r="O50" s="330"/>
    </row>
    <row r="51" spans="1:15">
      <c r="A51" s="361"/>
      <c r="B51" s="365"/>
      <c r="C51" s="361"/>
      <c r="D51" s="366" t="str">
        <f>InpAct!D182</f>
        <v>PR19</v>
      </c>
      <c r="E51" s="366" t="str">
        <f>InpAct!E182</f>
        <v>Run-off rate - CPI(H) + RPI wedge - active - WWN</v>
      </c>
      <c r="F51" s="366">
        <f>InpAct!F182</f>
        <v>0</v>
      </c>
      <c r="G51" s="366" t="str">
        <f>InpAct!G182</f>
        <v>%</v>
      </c>
      <c r="H51" s="67">
        <f>InpAct!H182</f>
        <v>5.1735881622974648E-2</v>
      </c>
      <c r="I51" s="366"/>
      <c r="J51" s="336">
        <f xml:space="preserve"> IF(ABS(K51) &gt; InpC!$F$9, 1, 0)</f>
        <v>1</v>
      </c>
      <c r="K51" s="116">
        <f t="shared" si="1"/>
        <v>5.1735881622974648E-2</v>
      </c>
      <c r="L51" s="116">
        <f xml:space="preserve"> IF(ABS(K51) &gt; InpC!$F$9, IF(INDEX(M51:O51, $J$5) = 0, 0, H51 / INDEX(M51:O51, $J$5) - 1), 0)</f>
        <v>0</v>
      </c>
      <c r="M51" s="497"/>
      <c r="N51" s="543">
        <v>0</v>
      </c>
      <c r="O51" s="330"/>
    </row>
    <row r="52" spans="1:15">
      <c r="A52" s="361"/>
      <c r="B52" s="365"/>
      <c r="C52" s="361"/>
      <c r="D52" s="366" t="str">
        <f>InpAct!D183</f>
        <v>PR19</v>
      </c>
      <c r="E52" s="366" t="str">
        <f>InpAct!E183</f>
        <v>Run-off rate - RCV additions - active - WWN</v>
      </c>
      <c r="F52" s="366">
        <f>InpAct!F183</f>
        <v>0</v>
      </c>
      <c r="G52" s="366" t="str">
        <f>InpAct!G183</f>
        <v>%</v>
      </c>
      <c r="H52" s="67">
        <f>InpAct!H183</f>
        <v>5.3207581341717006E-2</v>
      </c>
      <c r="I52" s="366"/>
      <c r="J52" s="336">
        <f xml:space="preserve"> IF(ABS(K52) &gt; InpC!$F$9, 1, 0)</f>
        <v>1</v>
      </c>
      <c r="K52" s="116">
        <f t="shared" si="1"/>
        <v>5.3207581341717006E-2</v>
      </c>
      <c r="L52" s="116">
        <f xml:space="preserve"> IF(ABS(K52) &gt; InpC!$F$9, IF(INDEX(M52:O52, $J$5) = 0, 0, H52 / INDEX(M52:O52, $J$5) - 1), 0)</f>
        <v>0</v>
      </c>
      <c r="M52" s="497"/>
      <c r="N52" s="543">
        <v>0</v>
      </c>
      <c r="O52" s="330"/>
    </row>
    <row r="53" spans="1:15">
      <c r="A53" s="361"/>
      <c r="B53" s="365"/>
      <c r="C53" s="361"/>
      <c r="D53" s="366" t="str">
        <f>InpAct!D199</f>
        <v>PR19</v>
      </c>
      <c r="E53" s="366" t="str">
        <f>InpAct!E199</f>
        <v>Run-off rate - CPI(H) - active - BR</v>
      </c>
      <c r="F53" s="366">
        <f>InpAct!F199</f>
        <v>0</v>
      </c>
      <c r="G53" s="366" t="str">
        <f>InpAct!G199</f>
        <v>%</v>
      </c>
      <c r="H53" s="67">
        <f>InpAct!H199</f>
        <v>5.1632027572433868E-2</v>
      </c>
      <c r="I53" s="366"/>
      <c r="J53" s="336">
        <f xml:space="preserve"> IF(ABS(K53) &gt; InpC!$F$9, 1, 0)</f>
        <v>1</v>
      </c>
      <c r="K53" s="116">
        <f t="shared" si="1"/>
        <v>5.1632027572433868E-2</v>
      </c>
      <c r="L53" s="116">
        <f xml:space="preserve"> IF(ABS(K53) &gt; InpC!$F$9, IF(INDEX(M53:O53, $J$5) = 0, 0, H53 / INDEX(M53:O53, $J$5) - 1), 0)</f>
        <v>0</v>
      </c>
      <c r="M53" s="497"/>
      <c r="N53" s="543">
        <v>0</v>
      </c>
      <c r="O53" s="330"/>
    </row>
    <row r="54" spans="1:15">
      <c r="A54" s="361"/>
      <c r="B54" s="365"/>
      <c r="C54" s="361"/>
      <c r="D54" s="366" t="str">
        <f>InpAct!D200</f>
        <v>PR19</v>
      </c>
      <c r="E54" s="366" t="str">
        <f>InpAct!E200</f>
        <v>Run-off rate - CPI(H) + RPI wedge - active - BR</v>
      </c>
      <c r="F54" s="366">
        <f>InpAct!F200</f>
        <v>0</v>
      </c>
      <c r="G54" s="366" t="str">
        <f>InpAct!G200</f>
        <v>%</v>
      </c>
      <c r="H54" s="67">
        <f>InpAct!H200</f>
        <v>5.1632027572433868E-2</v>
      </c>
      <c r="I54" s="366"/>
      <c r="J54" s="336">
        <f xml:space="preserve"> IF(ABS(K54) &gt; InpC!$F$9, 1, 0)</f>
        <v>1</v>
      </c>
      <c r="K54" s="116">
        <f t="shared" si="1"/>
        <v>5.1632027572433868E-2</v>
      </c>
      <c r="L54" s="116">
        <f xml:space="preserve"> IF(ABS(K54) &gt; InpC!$F$9, IF(INDEX(M54:O54, $J$5) = 0, 0, H54 / INDEX(M54:O54, $J$5) - 1), 0)</f>
        <v>0</v>
      </c>
      <c r="M54" s="497"/>
      <c r="N54" s="543">
        <v>0</v>
      </c>
      <c r="O54" s="330"/>
    </row>
    <row r="55" spans="1:15">
      <c r="A55" s="361"/>
      <c r="B55" s="365"/>
      <c r="C55" s="361"/>
      <c r="D55" s="366" t="str">
        <f>InpAct!D201</f>
        <v>PR19</v>
      </c>
      <c r="E55" s="366" t="str">
        <f>InpAct!E201</f>
        <v>Run-off rate - RCV additions - active - BR</v>
      </c>
      <c r="F55" s="366">
        <f>InpAct!F201</f>
        <v>0</v>
      </c>
      <c r="G55" s="366" t="str">
        <f>InpAct!G201</f>
        <v>%</v>
      </c>
      <c r="H55" s="67">
        <f>InpAct!H201</f>
        <v>7.5631229250522083E-2</v>
      </c>
      <c r="I55" s="366"/>
      <c r="J55" s="336">
        <f xml:space="preserve"> IF(ABS(K55) &gt; InpC!$F$9, 1, 0)</f>
        <v>1</v>
      </c>
      <c r="K55" s="116">
        <f t="shared" si="1"/>
        <v>7.5631229250522083E-2</v>
      </c>
      <c r="L55" s="116">
        <f xml:space="preserve"> IF(ABS(K55) &gt; InpC!$F$9, IF(INDEX(M55:O55, $J$5) = 0, 0, H55 / INDEX(M55:O55, $J$5) - 1), 0)</f>
        <v>0</v>
      </c>
      <c r="M55" s="497"/>
      <c r="N55" s="543">
        <v>0</v>
      </c>
      <c r="O55" s="330"/>
    </row>
    <row r="56" spans="1:15">
      <c r="A56" s="361"/>
      <c r="B56" s="365"/>
      <c r="C56" s="361"/>
      <c r="D56" s="366"/>
      <c r="E56" s="366"/>
      <c r="F56" s="366"/>
      <c r="G56" s="366"/>
      <c r="H56" s="67"/>
      <c r="I56" s="366"/>
      <c r="J56" s="336">
        <f xml:space="preserve"> IF(ABS(K56) &gt; InpC!$F$9, 1, 0)</f>
        <v>0</v>
      </c>
      <c r="K56" s="85">
        <f t="shared" si="1"/>
        <v>0</v>
      </c>
      <c r="L56" s="116">
        <f xml:space="preserve"> IF(ABS(K56) &gt; InpC!$F$9, IF(INDEX(M56:O56, $J$5) = 0, 0, H56 / INDEX(M56:O56, $J$5) - 1), 0)</f>
        <v>0</v>
      </c>
      <c r="M56" s="497"/>
      <c r="N56" s="525">
        <v>0</v>
      </c>
      <c r="O56" s="330"/>
    </row>
    <row r="57" spans="1:15">
      <c r="A57" s="361"/>
      <c r="B57" s="362"/>
      <c r="C57" s="361" t="s">
        <v>341</v>
      </c>
      <c r="D57" s="361"/>
      <c r="E57" s="363"/>
      <c r="F57" s="363"/>
      <c r="G57" s="363"/>
      <c r="H57" s="364"/>
      <c r="I57" s="366"/>
      <c r="J57" s="336">
        <f xml:space="preserve"> IF(ABS(K57) &gt; InpC!$F$9, 1, 0)</f>
        <v>0</v>
      </c>
      <c r="K57" s="85">
        <f t="shared" si="1"/>
        <v>0</v>
      </c>
      <c r="L57" s="116">
        <f xml:space="preserve"> IF(ABS(K57) &gt; InpC!$F$9, IF(INDEX(M57:O57, $J$5) = 0, 0, H57 / INDEX(M57:O57, $J$5) - 1), 0)</f>
        <v>0</v>
      </c>
      <c r="M57" s="497"/>
      <c r="N57" s="525">
        <v>0</v>
      </c>
      <c r="O57" s="330"/>
    </row>
    <row r="58" spans="1:15">
      <c r="A58" s="361"/>
      <c r="B58" s="362"/>
      <c r="C58" s="361"/>
      <c r="D58" s="366" t="str">
        <f>InpAct!D219</f>
        <v>PR19</v>
      </c>
      <c r="E58" s="366" t="str">
        <f>InpAct!E219</f>
        <v>Average of RCV - CPI(H) bf - WR - nominal</v>
      </c>
      <c r="F58" s="366">
        <f>InpAct!F219</f>
        <v>0</v>
      </c>
      <c r="G58" s="366" t="str">
        <f>InpAct!G219</f>
        <v>£m</v>
      </c>
      <c r="H58" s="366">
        <f>InpAct!H219</f>
        <v>141.68895848108855</v>
      </c>
      <c r="I58" s="366"/>
      <c r="J58" s="336">
        <f xml:space="preserve"> IF(ABS(K58) &gt; InpC!$F$9, 1, 0)</f>
        <v>1</v>
      </c>
      <c r="K58" s="85">
        <f t="shared" si="1"/>
        <v>141.68895848108855</v>
      </c>
      <c r="L58" s="116">
        <f xml:space="preserve"> IF(ABS(K58) &gt; InpC!$F$9, IF(INDEX(M58:O58, $J$5) = 0, 0, H58 / INDEX(M58:O58, $J$5) - 1), 0)</f>
        <v>0</v>
      </c>
      <c r="M58" s="497"/>
      <c r="N58" s="525">
        <v>0</v>
      </c>
      <c r="O58" s="330"/>
    </row>
    <row r="59" spans="1:15">
      <c r="A59" s="361"/>
      <c r="B59" s="362"/>
      <c r="C59" s="361"/>
      <c r="D59" s="366" t="str">
        <f>InpAct!D$227</f>
        <v>PR19</v>
      </c>
      <c r="E59" s="366" t="str">
        <f>InpAct!E$227</f>
        <v>Average of RCV post 2020 additions - WR - nominal</v>
      </c>
      <c r="F59" s="366">
        <f>InpAct!F$227</f>
        <v>0</v>
      </c>
      <c r="G59" s="366" t="str">
        <f>InpAct!G$227</f>
        <v>£m</v>
      </c>
      <c r="H59" s="366">
        <f>InpAct!H$227</f>
        <v>195.03316344298315</v>
      </c>
      <c r="I59" s="366"/>
      <c r="J59" s="336">
        <f xml:space="preserve"> IF(ABS(K59) &gt; InpC!$F$9, 1, 0)</f>
        <v>1</v>
      </c>
      <c r="K59" s="85">
        <f t="shared" si="1"/>
        <v>195.03316344298315</v>
      </c>
      <c r="L59" s="116">
        <f xml:space="preserve"> IF(ABS(K59) &gt; InpC!$F$9, IF(INDEX(M59:O59, $J$5) = 0, 0, H59 / INDEX(M59:O59, $J$5) - 1), 0)</f>
        <v>0</v>
      </c>
      <c r="M59" s="497"/>
      <c r="N59" s="525">
        <v>0</v>
      </c>
      <c r="O59" s="330"/>
    </row>
    <row r="60" spans="1:15">
      <c r="A60" s="361"/>
      <c r="B60" s="362"/>
      <c r="C60" s="361"/>
      <c r="D60" s="366" t="str">
        <f>InpAct!D236</f>
        <v>PR19</v>
      </c>
      <c r="E60" s="366" t="str">
        <f>InpAct!E236</f>
        <v>Average of RCV - CPI(H) bf - WN - nominal</v>
      </c>
      <c r="F60" s="366">
        <f>InpAct!F236</f>
        <v>0</v>
      </c>
      <c r="G60" s="366" t="str">
        <f>InpAct!G236</f>
        <v>£m</v>
      </c>
      <c r="H60" s="366">
        <f>InpAct!H236</f>
        <v>2753.9461978357131</v>
      </c>
      <c r="I60" s="366"/>
      <c r="J60" s="336">
        <f xml:space="preserve"> IF(ABS(K60) &gt; InpC!$F$9, 1, 0)</f>
        <v>1</v>
      </c>
      <c r="K60" s="85">
        <f t="shared" si="1"/>
        <v>2753.9461978357131</v>
      </c>
      <c r="L60" s="116">
        <f xml:space="preserve"> IF(ABS(K60) &gt; InpC!$F$9, IF(INDEX(M60:O60, $J$5) = 0, 0, H60 / INDEX(M60:O60, $J$5) - 1), 0)</f>
        <v>0</v>
      </c>
      <c r="M60" s="497"/>
      <c r="N60" s="525">
        <v>0</v>
      </c>
      <c r="O60" s="330"/>
    </row>
    <row r="61" spans="1:15">
      <c r="A61" s="361"/>
      <c r="B61" s="362"/>
      <c r="C61" s="361"/>
      <c r="D61" s="47" t="str">
        <f>InpAct!D$244</f>
        <v>PR19</v>
      </c>
      <c r="E61" s="47" t="str">
        <f>InpAct!E$244</f>
        <v>Average of RCV post 2020 additions - WN - nominal</v>
      </c>
      <c r="F61" s="47">
        <f>InpAct!F$244</f>
        <v>0</v>
      </c>
      <c r="G61" s="47" t="str">
        <f>InpAct!G$244</f>
        <v>£m</v>
      </c>
      <c r="H61" s="47">
        <f>InpAct!H$244</f>
        <v>2596.9859789605562</v>
      </c>
      <c r="I61" s="366"/>
      <c r="J61" s="336">
        <f xml:space="preserve"> IF(ABS(K61) &gt; InpC!$F$9, 1, 0)</f>
        <v>1</v>
      </c>
      <c r="K61" s="85">
        <f t="shared" si="1"/>
        <v>2596.9859789605562</v>
      </c>
      <c r="L61" s="116">
        <f xml:space="preserve"> IF(ABS(K61) &gt; InpC!$F$9, IF(INDEX(M61:O61, $J$5) = 0, 0, H61 / INDEX(M61:O61, $J$5) - 1), 0)</f>
        <v>0</v>
      </c>
      <c r="M61" s="497"/>
      <c r="N61" s="525">
        <v>0</v>
      </c>
      <c r="O61" s="330"/>
    </row>
    <row r="62" spans="1:15">
      <c r="A62" s="361"/>
      <c r="B62" s="362"/>
      <c r="C62" s="361"/>
      <c r="D62" s="366" t="str">
        <f>InpAct!D253</f>
        <v>PR19</v>
      </c>
      <c r="E62" s="366" t="str">
        <f>InpAct!E253</f>
        <v>Average of RCV - CPI(H) bf - WWN - nominal</v>
      </c>
      <c r="F62" s="366">
        <f>InpAct!F253</f>
        <v>0</v>
      </c>
      <c r="G62" s="366" t="str">
        <f>InpAct!G253</f>
        <v>£m</v>
      </c>
      <c r="H62" s="366">
        <f>InpAct!H253</f>
        <v>2254.7502001695411</v>
      </c>
      <c r="I62" s="366"/>
      <c r="J62" s="336">
        <f xml:space="preserve"> IF(ABS(K62) &gt; InpC!$F$9, 1, 0)</f>
        <v>1</v>
      </c>
      <c r="K62" s="85">
        <f t="shared" si="1"/>
        <v>2254.7502001695411</v>
      </c>
      <c r="L62" s="116">
        <f xml:space="preserve"> IF(ABS(K62) &gt; InpC!$F$9, IF(INDEX(M62:O62, $J$5) = 0, 0, H62 / INDEX(M62:O62, $J$5) - 1), 0)</f>
        <v>0</v>
      </c>
      <c r="M62" s="497"/>
      <c r="N62" s="525">
        <v>0</v>
      </c>
      <c r="O62" s="330"/>
    </row>
    <row r="63" spans="1:15">
      <c r="A63" s="361"/>
      <c r="B63" s="362"/>
      <c r="C63" s="361"/>
      <c r="D63" s="366" t="str">
        <f>InpAct!D$261</f>
        <v>PR19</v>
      </c>
      <c r="E63" s="366" t="str">
        <f>InpAct!E$261</f>
        <v>Average of RCV post 2020 additions - WWN - nominal</v>
      </c>
      <c r="F63" s="366">
        <f>InpAct!F$261</f>
        <v>0</v>
      </c>
      <c r="G63" s="366" t="str">
        <f>InpAct!G$261</f>
        <v>£m</v>
      </c>
      <c r="H63" s="366">
        <f>InpAct!H$261</f>
        <v>2226.2372661186923</v>
      </c>
      <c r="I63" s="366"/>
      <c r="J63" s="336">
        <f xml:space="preserve"> IF(ABS(K63) &gt; InpC!$F$9, 1, 0)</f>
        <v>1</v>
      </c>
      <c r="K63" s="85">
        <f t="shared" si="1"/>
        <v>2226.2372661186923</v>
      </c>
      <c r="L63" s="116">
        <f xml:space="preserve"> IF(ABS(K63) &gt; InpC!$F$9, IF(INDEX(M63:O63, $J$5) = 0, 0, H63 / INDEX(M63:O63, $J$5) - 1), 0)</f>
        <v>0</v>
      </c>
      <c r="M63" s="497"/>
      <c r="N63" s="525">
        <v>0</v>
      </c>
      <c r="O63" s="330"/>
    </row>
    <row r="64" spans="1:15">
      <c r="A64" s="361"/>
      <c r="B64" s="362"/>
      <c r="C64" s="361"/>
      <c r="D64" s="366" t="str">
        <f>InpAct!D270</f>
        <v>PR19</v>
      </c>
      <c r="E64" s="366" t="str">
        <f>InpAct!E270</f>
        <v>Average of RCV - CPI(H) bf - BR - nominal</v>
      </c>
      <c r="F64" s="366">
        <f>InpAct!F270</f>
        <v>0</v>
      </c>
      <c r="G64" s="366" t="str">
        <f>InpAct!G270</f>
        <v>£m</v>
      </c>
      <c r="H64" s="366">
        <f>InpAct!H270</f>
        <v>702.14839384760921</v>
      </c>
      <c r="I64" s="366"/>
      <c r="J64" s="336">
        <f xml:space="preserve"> IF(ABS(K64) &gt; InpC!$F$9, 1, 0)</f>
        <v>1</v>
      </c>
      <c r="K64" s="85">
        <f t="shared" si="1"/>
        <v>702.14839384760921</v>
      </c>
      <c r="L64" s="116">
        <f xml:space="preserve"> IF(ABS(K64) &gt; InpC!$F$9, IF(INDEX(M64:O64, $J$5) = 0, 0, H64 / INDEX(M64:O64, $J$5) - 1), 0)</f>
        <v>0</v>
      </c>
      <c r="M64" s="497"/>
      <c r="N64" s="525">
        <v>0</v>
      </c>
      <c r="O64" s="330"/>
    </row>
    <row r="65" spans="1:15">
      <c r="A65" s="361"/>
      <c r="B65" s="362"/>
      <c r="C65" s="361"/>
      <c r="D65" s="366" t="str">
        <f>InpAct!D$278</f>
        <v>PR19</v>
      </c>
      <c r="E65" s="366" t="str">
        <f>InpAct!E$278</f>
        <v>Average of RCV post 2020 additions - BR - nominal</v>
      </c>
      <c r="F65" s="366">
        <f>InpAct!F$278</f>
        <v>0</v>
      </c>
      <c r="G65" s="366" t="str">
        <f>InpAct!G$278</f>
        <v>£m</v>
      </c>
      <c r="H65" s="366">
        <f>InpAct!H$278</f>
        <v>370.03530470311171</v>
      </c>
      <c r="I65" s="366"/>
      <c r="J65" s="336">
        <f xml:space="preserve"> IF(ABS(K65) &gt; InpC!$F$9, 1, 0)</f>
        <v>1</v>
      </c>
      <c r="K65" s="85">
        <f t="shared" si="1"/>
        <v>370.03530470311171</v>
      </c>
      <c r="L65" s="116">
        <f xml:space="preserve"> IF(ABS(K65) &gt; InpC!$F$9, IF(INDEX(M65:O65, $J$5) = 0, 0, H65 / INDEX(M65:O65, $J$5) - 1), 0)</f>
        <v>0</v>
      </c>
      <c r="M65" s="497"/>
      <c r="N65" s="525">
        <v>0</v>
      </c>
      <c r="O65" s="330"/>
    </row>
    <row r="66" spans="1:15">
      <c r="A66" s="361"/>
      <c r="B66" s="362"/>
      <c r="C66" s="361"/>
      <c r="D66" s="366" t="str">
        <f>InpAct!D$221</f>
        <v>PR19</v>
      </c>
      <c r="E66" s="366" t="str">
        <f>InpAct!E$221</f>
        <v>Return on RCV - CPI(H) bf - WR - nominal</v>
      </c>
      <c r="F66" s="366">
        <f>InpAct!F$221</f>
        <v>0</v>
      </c>
      <c r="G66" s="366" t="str">
        <f>InpAct!G$221</f>
        <v>£m</v>
      </c>
      <c r="H66" s="366">
        <f>InpAct!H$221</f>
        <v>4.6812885868516716</v>
      </c>
      <c r="I66" s="366"/>
      <c r="J66" s="336">
        <f xml:space="preserve"> IF(ABS(K66) &gt; InpC!$F$9, 1, 0)</f>
        <v>1</v>
      </c>
      <c r="K66" s="85">
        <f t="shared" si="1"/>
        <v>4.6812885868516716</v>
      </c>
      <c r="L66" s="116">
        <f xml:space="preserve"> IF(ABS(K66) &gt; InpC!$F$9, IF(INDEX(M66:O66, $J$5) = 0, 0, H66 / INDEX(M66:O66, $J$5) - 1), 0)</f>
        <v>0</v>
      </c>
      <c r="M66" s="497"/>
      <c r="N66" s="525">
        <v>0</v>
      </c>
      <c r="O66" s="330"/>
    </row>
    <row r="67" spans="1:15">
      <c r="A67" s="361"/>
      <c r="B67" s="362"/>
      <c r="C67" s="361"/>
      <c r="D67" s="366" t="str">
        <f>InpAct!D$225</f>
        <v>PR19</v>
      </c>
      <c r="E67" s="366" t="str">
        <f>InpAct!E$225</f>
        <v>Return on RCV - CPI(H) + RPI wedge bf - WR - nominal</v>
      </c>
      <c r="F67" s="366">
        <f>InpAct!F$225</f>
        <v>0</v>
      </c>
      <c r="G67" s="366" t="str">
        <f>InpAct!G$225</f>
        <v>£m</v>
      </c>
      <c r="H67" s="366">
        <f>InpAct!H$225</f>
        <v>3.4260283152618234</v>
      </c>
      <c r="I67" s="366"/>
      <c r="J67" s="336">
        <f xml:space="preserve"> IF(ABS(K67) &gt; InpC!$F$9, 1, 0)</f>
        <v>1</v>
      </c>
      <c r="K67" s="85">
        <f t="shared" si="1"/>
        <v>3.4260283152618234</v>
      </c>
      <c r="L67" s="116">
        <f xml:space="preserve"> IF(ABS(K67) &gt; InpC!$F$9, IF(INDEX(M67:O67, $J$5) = 0, 0, H67 / INDEX(M67:O67, $J$5) - 1), 0)</f>
        <v>0</v>
      </c>
      <c r="M67" s="497"/>
      <c r="N67" s="525">
        <v>0</v>
      </c>
      <c r="O67" s="330"/>
    </row>
    <row r="68" spans="1:15">
      <c r="A68" s="361"/>
      <c r="B68" s="362"/>
      <c r="C68" s="361"/>
      <c r="D68" s="366" t="str">
        <f>InpAct!D$229</f>
        <v>PR19</v>
      </c>
      <c r="E68" s="366" t="str">
        <f>InpAct!E$229</f>
        <v>Return on RCV additions - WR - nominal</v>
      </c>
      <c r="F68" s="366">
        <f>InpAct!F$229</f>
        <v>0</v>
      </c>
      <c r="G68" s="366" t="str">
        <f>InpAct!G$229</f>
        <v>£m</v>
      </c>
      <c r="H68" s="366">
        <f>InpAct!H$229</f>
        <v>6.4437379727445325</v>
      </c>
      <c r="I68" s="366"/>
      <c r="J68" s="336">
        <f xml:space="preserve"> IF(ABS(K68) &gt; InpC!$F$9, 1, 0)</f>
        <v>1</v>
      </c>
      <c r="K68" s="85">
        <f t="shared" si="1"/>
        <v>6.4437379727445325</v>
      </c>
      <c r="L68" s="116">
        <f xml:space="preserve"> IF(ABS(K68) &gt; InpC!$F$9, IF(INDEX(M68:O68, $J$5) = 0, 0, H68 / INDEX(M68:O68, $J$5) - 1), 0)</f>
        <v>0</v>
      </c>
      <c r="M68" s="497"/>
      <c r="N68" s="525">
        <v>0</v>
      </c>
      <c r="O68" s="330"/>
    </row>
    <row r="69" spans="1:15">
      <c r="A69" s="361"/>
      <c r="B69" s="362"/>
      <c r="C69" s="361"/>
      <c r="D69" s="366" t="str">
        <f>InpAct!D$238</f>
        <v>PR19</v>
      </c>
      <c r="E69" s="366" t="str">
        <f>InpAct!E$238</f>
        <v>Return on RCV - CPI(H) bf - WN - nominal</v>
      </c>
      <c r="F69" s="366">
        <f>InpAct!F$238</f>
        <v>0</v>
      </c>
      <c r="G69" s="366" t="str">
        <f>InpAct!G$238</f>
        <v>£m</v>
      </c>
      <c r="H69" s="366">
        <f>InpAct!H$238</f>
        <v>90.9881549200081</v>
      </c>
      <c r="I69" s="366"/>
      <c r="J69" s="336">
        <f xml:space="preserve"> IF(ABS(K69) &gt; InpC!$F$9, 1, 0)</f>
        <v>1</v>
      </c>
      <c r="K69" s="85">
        <f t="shared" si="1"/>
        <v>90.9881549200081</v>
      </c>
      <c r="L69" s="116">
        <f xml:space="preserve"> IF(ABS(K69) &gt; InpC!$F$9, IF(INDEX(M69:O69, $J$5) = 0, 0, H69 / INDEX(M69:O69, $J$5) - 1), 0)</f>
        <v>0</v>
      </c>
      <c r="M69" s="497"/>
      <c r="N69" s="525">
        <v>0</v>
      </c>
      <c r="O69" s="330"/>
    </row>
    <row r="70" spans="1:15">
      <c r="A70" s="361"/>
      <c r="B70" s="362"/>
      <c r="C70" s="361"/>
      <c r="D70" s="366" t="str">
        <f>InpAct!D$242</f>
        <v>PR19</v>
      </c>
      <c r="E70" s="366" t="str">
        <f>InpAct!E$242</f>
        <v>Return on RCV - CPI(H) + RPI wedge bf - WN - nominal</v>
      </c>
      <c r="F70" s="366">
        <f>InpAct!F$242</f>
        <v>0</v>
      </c>
      <c r="G70" s="366" t="str">
        <f>InpAct!G$242</f>
        <v>£m</v>
      </c>
      <c r="H70" s="366">
        <f>InpAct!H$242</f>
        <v>68.095207528341675</v>
      </c>
      <c r="I70" s="366"/>
      <c r="J70" s="336">
        <f xml:space="preserve"> IF(ABS(K70) &gt; InpC!$F$9, 1, 0)</f>
        <v>1</v>
      </c>
      <c r="K70" s="85">
        <f t="shared" si="1"/>
        <v>68.095207528341675</v>
      </c>
      <c r="L70" s="116">
        <f xml:space="preserve"> IF(ABS(K70) &gt; InpC!$F$9, IF(INDEX(M70:O70, $J$5) = 0, 0, H70 / INDEX(M70:O70, $J$5) - 1), 0)</f>
        <v>0</v>
      </c>
      <c r="M70" s="497"/>
      <c r="N70" s="525">
        <v>0</v>
      </c>
      <c r="O70" s="330"/>
    </row>
    <row r="71" spans="1:15">
      <c r="A71" s="361"/>
      <c r="B71" s="362"/>
      <c r="C71" s="361"/>
      <c r="D71" s="366" t="str">
        <f>InpAct!D$246</f>
        <v>PR19</v>
      </c>
      <c r="E71" s="366" t="str">
        <f>InpAct!E$246</f>
        <v>Return on RCV additions - WN - nominal</v>
      </c>
      <c r="F71" s="366">
        <f>InpAct!F$246</f>
        <v>0</v>
      </c>
      <c r="G71" s="366" t="str">
        <f>InpAct!G$246</f>
        <v>£m</v>
      </c>
      <c r="H71" s="366">
        <f>InpAct!H$246</f>
        <v>85.802316241491141</v>
      </c>
      <c r="I71" s="366"/>
      <c r="J71" s="336">
        <f xml:space="preserve"> IF(ABS(K71) &gt; InpC!$F$9, 1, 0)</f>
        <v>1</v>
      </c>
      <c r="K71" s="85">
        <f t="shared" si="1"/>
        <v>85.802316241491141</v>
      </c>
      <c r="L71" s="116">
        <f xml:space="preserve"> IF(ABS(K71) &gt; InpC!$F$9, IF(INDEX(M71:O71, $J$5) = 0, 0, H71 / INDEX(M71:O71, $J$5) - 1), 0)</f>
        <v>0</v>
      </c>
      <c r="M71" s="497"/>
      <c r="N71" s="525">
        <v>0</v>
      </c>
      <c r="O71" s="330"/>
    </row>
    <row r="72" spans="1:15">
      <c r="A72" s="361"/>
      <c r="B72" s="362"/>
      <c r="C72" s="361"/>
      <c r="D72" s="366" t="str">
        <f>InpAct!D$255</f>
        <v>PR19</v>
      </c>
      <c r="E72" s="366" t="str">
        <f>InpAct!E$255</f>
        <v>Return on RCV - CPI(H) bf - WWN - nominal</v>
      </c>
      <c r="F72" s="366">
        <f>InpAct!F$255</f>
        <v>0</v>
      </c>
      <c r="G72" s="366" t="str">
        <f>InpAct!G$255</f>
        <v>£m</v>
      </c>
      <c r="H72" s="366">
        <f>InpAct!H$255</f>
        <v>74.495122918586532</v>
      </c>
      <c r="I72" s="366"/>
      <c r="J72" s="336">
        <f xml:space="preserve"> IF(ABS(K72) &gt; InpC!$F$9, 1, 0)</f>
        <v>1</v>
      </c>
      <c r="K72" s="85">
        <f t="shared" si="1"/>
        <v>74.495122918586532</v>
      </c>
      <c r="L72" s="116">
        <f xml:space="preserve"> IF(ABS(K72) &gt; InpC!$F$9, IF(INDEX(M72:O72, $J$5) = 0, 0, H72 / INDEX(M72:O72, $J$5) - 1), 0)</f>
        <v>0</v>
      </c>
      <c r="M72" s="497"/>
      <c r="N72" s="525">
        <v>0</v>
      </c>
      <c r="O72" s="330"/>
    </row>
    <row r="73" spans="1:15">
      <c r="A73" s="361"/>
      <c r="B73" s="362"/>
      <c r="C73" s="361"/>
      <c r="D73" s="366" t="str">
        <f>InpAct!D$259</f>
        <v>PR19</v>
      </c>
      <c r="E73" s="366" t="str">
        <f>InpAct!E$259</f>
        <v>Return on RCV - CPI(H) + RPI wedge bf - WWN - nominal</v>
      </c>
      <c r="F73" s="366">
        <f>InpAct!F$259</f>
        <v>0</v>
      </c>
      <c r="G73" s="366" t="str">
        <f>InpAct!G$259</f>
        <v>£m</v>
      </c>
      <c r="H73" s="366">
        <f>InpAct!H$259</f>
        <v>54.940250684241349</v>
      </c>
      <c r="I73" s="366"/>
      <c r="J73" s="336">
        <f xml:space="preserve"> IF(ABS(K73) &gt; InpC!$F$9, 1, 0)</f>
        <v>1</v>
      </c>
      <c r="K73" s="85">
        <f t="shared" si="1"/>
        <v>54.940250684241349</v>
      </c>
      <c r="L73" s="116">
        <f xml:space="preserve"> IF(ABS(K73) &gt; InpC!$F$9, IF(INDEX(M73:O73, $J$5) = 0, 0, H73 / INDEX(M73:O73, $J$5) - 1), 0)</f>
        <v>0</v>
      </c>
      <c r="M73" s="497"/>
      <c r="N73" s="525">
        <v>0</v>
      </c>
      <c r="O73" s="330"/>
    </row>
    <row r="74" spans="1:15">
      <c r="A74" s="361"/>
      <c r="B74" s="362"/>
      <c r="C74" s="361"/>
      <c r="D74" s="366" t="str">
        <f>InpAct!D$263</f>
        <v>PR19</v>
      </c>
      <c r="E74" s="366" t="str">
        <f>InpAct!E$263</f>
        <v>Return on RCV additions - WWN - nominal</v>
      </c>
      <c r="F74" s="366">
        <f>InpAct!F$263</f>
        <v>0</v>
      </c>
      <c r="G74" s="366" t="str">
        <f>InpAct!G$263</f>
        <v>£m</v>
      </c>
      <c r="H74" s="366">
        <f>InpAct!H$263</f>
        <v>73.553078639478443</v>
      </c>
      <c r="I74" s="366"/>
      <c r="J74" s="336">
        <f xml:space="preserve"> IF(ABS(K74) &gt; InpC!$F$9, 1, 0)</f>
        <v>1</v>
      </c>
      <c r="K74" s="85">
        <f t="shared" si="1"/>
        <v>73.553078639478443</v>
      </c>
      <c r="L74" s="116">
        <f xml:space="preserve"> IF(ABS(K74) &gt; InpC!$F$9, IF(INDEX(M74:O74, $J$5) = 0, 0, H74 / INDEX(M74:O74, $J$5) - 1), 0)</f>
        <v>0</v>
      </c>
      <c r="M74" s="497"/>
      <c r="N74" s="525">
        <v>0</v>
      </c>
      <c r="O74" s="330"/>
    </row>
    <row r="75" spans="1:15">
      <c r="A75" s="361"/>
      <c r="B75" s="362"/>
      <c r="C75" s="361"/>
      <c r="D75" s="366" t="str">
        <f>InpAct!D$272</f>
        <v>PR19</v>
      </c>
      <c r="E75" s="366" t="str">
        <f>InpAct!E$272</f>
        <v>Return on RCV - CPI(H) bf - BR - nominal</v>
      </c>
      <c r="F75" s="366">
        <f>InpAct!F$272</f>
        <v>0</v>
      </c>
      <c r="G75" s="366" t="str">
        <f>InpAct!G$272</f>
        <v>£m</v>
      </c>
      <c r="H75" s="366">
        <f>InpAct!H$272</f>
        <v>23.198415018582846</v>
      </c>
      <c r="I75" s="366"/>
      <c r="J75" s="336">
        <f xml:space="preserve"> IF(ABS(K75) &gt; InpC!$F$9, 1, 0)</f>
        <v>1</v>
      </c>
      <c r="K75" s="85">
        <f t="shared" ref="K75:K106" si="2" xml:space="preserve"> H75 - INDEX(M75:O75, $J$5)</f>
        <v>23.198415018582846</v>
      </c>
      <c r="L75" s="116">
        <f xml:space="preserve"> IF(ABS(K75) &gt; InpC!$F$9, IF(INDEX(M75:O75, $J$5) = 0, 0, H75 / INDEX(M75:O75, $J$5) - 1), 0)</f>
        <v>0</v>
      </c>
      <c r="M75" s="497"/>
      <c r="N75" s="525">
        <v>0</v>
      </c>
      <c r="O75" s="330"/>
    </row>
    <row r="76" spans="1:15">
      <c r="A76" s="361"/>
      <c r="B76" s="362"/>
      <c r="C76" s="361"/>
      <c r="D76" s="366" t="str">
        <f>InpAct!D$276</f>
        <v>PR19</v>
      </c>
      <c r="E76" s="366" t="str">
        <f>InpAct!E$276</f>
        <v>Return on RCV - CPI(H) + RPI wedge bf - BR - nominal</v>
      </c>
      <c r="F76" s="366">
        <f>InpAct!F$276</f>
        <v>0</v>
      </c>
      <c r="G76" s="366" t="str">
        <f>InpAct!G$276</f>
        <v>£m</v>
      </c>
      <c r="H76" s="366">
        <f>InpAct!H$276</f>
        <v>16.977895134705186</v>
      </c>
      <c r="I76" s="366"/>
      <c r="J76" s="336">
        <f xml:space="preserve"> IF(ABS(K76) &gt; InpC!$F$9, 1, 0)</f>
        <v>1</v>
      </c>
      <c r="K76" s="85">
        <f t="shared" si="2"/>
        <v>16.977895134705186</v>
      </c>
      <c r="L76" s="116">
        <f xml:space="preserve"> IF(ABS(K76) &gt; InpC!$F$9, IF(INDEX(M76:O76, $J$5) = 0, 0, H76 / INDEX(M76:O76, $J$5) - 1), 0)</f>
        <v>0</v>
      </c>
      <c r="M76" s="497"/>
      <c r="N76" s="525">
        <v>0</v>
      </c>
      <c r="O76" s="330"/>
    </row>
    <row r="77" spans="1:15">
      <c r="A77" s="361"/>
      <c r="B77" s="362"/>
      <c r="C77" s="361"/>
      <c r="D77" s="366" t="str">
        <f>InpAct!D$280</f>
        <v>PR19</v>
      </c>
      <c r="E77" s="366" t="str">
        <f>InpAct!E$280</f>
        <v>Return on RCV additions - BR - nominal</v>
      </c>
      <c r="F77" s="366">
        <f>InpAct!F$280</f>
        <v>0</v>
      </c>
      <c r="G77" s="366" t="str">
        <f>InpAct!G$280</f>
        <v>£m</v>
      </c>
      <c r="H77" s="366">
        <f>InpAct!H$280</f>
        <v>12.225667174129612</v>
      </c>
      <c r="I77" s="366"/>
      <c r="J77" s="336">
        <f xml:space="preserve"> IF(ABS(K77) &gt; InpC!$F$9, 1, 0)</f>
        <v>1</v>
      </c>
      <c r="K77" s="85">
        <f t="shared" si="2"/>
        <v>12.225667174129612</v>
      </c>
      <c r="L77" s="116">
        <f xml:space="preserve"> IF(ABS(K77) &gt; InpC!$F$9, IF(INDEX(M77:O77, $J$5) = 0, 0, H77 / INDEX(M77:O77, $J$5) - 1), 0)</f>
        <v>0</v>
      </c>
      <c r="M77" s="497"/>
      <c r="N77" s="525">
        <v>0</v>
      </c>
      <c r="O77" s="330"/>
    </row>
    <row r="78" spans="1:15">
      <c r="A78" s="361"/>
      <c r="B78" s="365"/>
      <c r="C78" s="361"/>
      <c r="D78" s="366" t="str">
        <f>InpAct!D220</f>
        <v>PR19</v>
      </c>
      <c r="E78" s="366" t="str">
        <f>InpAct!E220</f>
        <v>WACC real on RCV - CPI(H) bf and additions - WR</v>
      </c>
      <c r="F78" s="366">
        <f>InpAct!F220</f>
        <v>0</v>
      </c>
      <c r="G78" s="366" t="str">
        <f>InpAct!G220</f>
        <v>%</v>
      </c>
      <c r="H78" s="67">
        <f>InpAct!H220</f>
        <v>3.3039191176470473E-2</v>
      </c>
      <c r="I78" s="366"/>
      <c r="J78" s="336">
        <f xml:space="preserve"> IF(ABS(K78) &gt; InpC!$F$9, 1, 0)</f>
        <v>1</v>
      </c>
      <c r="K78" s="116">
        <f t="shared" si="2"/>
        <v>3.3039191176470473E-2</v>
      </c>
      <c r="L78" s="116">
        <f xml:space="preserve"> IF(ABS(K78) &gt; InpC!$F$9, IF(INDEX(M78:O78, $J$5) = 0, 0, H78 / INDEX(M78:O78, $J$5) - 1), 0)</f>
        <v>0</v>
      </c>
      <c r="M78" s="497"/>
      <c r="N78" s="543">
        <v>0</v>
      </c>
      <c r="O78" s="330"/>
    </row>
    <row r="79" spans="1:15">
      <c r="A79" s="361"/>
      <c r="B79" s="365"/>
      <c r="C79" s="361"/>
      <c r="D79" s="366" t="str">
        <f>InpAct!D224</f>
        <v>PR19</v>
      </c>
      <c r="E79" s="366" t="str">
        <f>InpAct!E224</f>
        <v>WACC on RCV - CPI(H) + RPI wedge bf and additions - WR</v>
      </c>
      <c r="F79" s="366">
        <f>InpAct!F224</f>
        <v>0</v>
      </c>
      <c r="G79" s="366" t="str">
        <f>InpAct!G224</f>
        <v>%</v>
      </c>
      <c r="H79" s="67">
        <f>InpAct!H224</f>
        <v>2.3009684466019475E-2</v>
      </c>
      <c r="I79" s="366"/>
      <c r="J79" s="336">
        <f xml:space="preserve"> IF(ABS(K79) &gt; InpC!$F$9, 1, 0)</f>
        <v>1</v>
      </c>
      <c r="K79" s="116">
        <f t="shared" si="2"/>
        <v>2.3009684466019475E-2</v>
      </c>
      <c r="L79" s="116">
        <f xml:space="preserve"> IF(ABS(K79) &gt; InpC!$F$9, IF(INDEX(M79:O79, $J$5) = 0, 0, H79 / INDEX(M79:O79, $J$5) - 1), 0)</f>
        <v>0</v>
      </c>
      <c r="M79" s="497"/>
      <c r="N79" s="543">
        <v>0</v>
      </c>
      <c r="O79" s="330"/>
    </row>
    <row r="80" spans="1:15">
      <c r="A80" s="361"/>
      <c r="B80" s="365"/>
      <c r="C80" s="361"/>
      <c r="D80" s="366" t="str">
        <f>InpAct!D237</f>
        <v>PR19</v>
      </c>
      <c r="E80" s="366" t="str">
        <f>InpAct!E237</f>
        <v>WACC real on RCV - CPI(H) bf and additions - WN</v>
      </c>
      <c r="F80" s="366">
        <f>InpAct!F237</f>
        <v>0</v>
      </c>
      <c r="G80" s="366" t="str">
        <f>InpAct!G237</f>
        <v>%</v>
      </c>
      <c r="H80" s="67">
        <f>InpAct!H237</f>
        <v>3.3039191176470473E-2</v>
      </c>
      <c r="I80" s="366"/>
      <c r="J80" s="336">
        <f xml:space="preserve"> IF(ABS(K80) &gt; InpC!$F$9, 1, 0)</f>
        <v>1</v>
      </c>
      <c r="K80" s="116">
        <f t="shared" si="2"/>
        <v>3.3039191176470473E-2</v>
      </c>
      <c r="L80" s="116">
        <f xml:space="preserve"> IF(ABS(K80) &gt; InpC!$F$9, IF(INDEX(M80:O80, $J$5) = 0, 0, H80 / INDEX(M80:O80, $J$5) - 1), 0)</f>
        <v>0</v>
      </c>
      <c r="M80" s="497"/>
      <c r="N80" s="543">
        <v>0</v>
      </c>
      <c r="O80" s="330"/>
    </row>
    <row r="81" spans="1:15">
      <c r="A81" s="361"/>
      <c r="B81" s="365"/>
      <c r="C81" s="361"/>
      <c r="D81" s="366" t="str">
        <f>InpAct!D241</f>
        <v>PR19</v>
      </c>
      <c r="E81" s="366" t="str">
        <f>InpAct!E241</f>
        <v>WACC on RCV - CPI(H) + RPI wedge bf and additions - WN</v>
      </c>
      <c r="F81" s="366">
        <f>InpAct!F241</f>
        <v>0</v>
      </c>
      <c r="G81" s="366" t="str">
        <f>InpAct!G241</f>
        <v>%</v>
      </c>
      <c r="H81" s="67">
        <f>InpAct!H241</f>
        <v>2.3009684466019475E-2</v>
      </c>
      <c r="I81" s="366"/>
      <c r="J81" s="336">
        <f xml:space="preserve"> IF(ABS(K81) &gt; InpC!$F$9, 1, 0)</f>
        <v>1</v>
      </c>
      <c r="K81" s="116">
        <f t="shared" si="2"/>
        <v>2.3009684466019475E-2</v>
      </c>
      <c r="L81" s="116">
        <f xml:space="preserve"> IF(ABS(K81) &gt; InpC!$F$9, IF(INDEX(M81:O81, $J$5) = 0, 0, H81 / INDEX(M81:O81, $J$5) - 1), 0)</f>
        <v>0</v>
      </c>
      <c r="M81" s="497"/>
      <c r="N81" s="543">
        <v>0</v>
      </c>
      <c r="O81" s="330"/>
    </row>
    <row r="82" spans="1:15">
      <c r="A82" s="361"/>
      <c r="B82" s="365"/>
      <c r="C82" s="361"/>
      <c r="D82" s="366" t="str">
        <f>InpAct!D254</f>
        <v>PR19</v>
      </c>
      <c r="E82" s="366" t="str">
        <f>InpAct!E254</f>
        <v>WACC real on RCV - CPI(H) bf and additions - WWN</v>
      </c>
      <c r="F82" s="366">
        <f>InpAct!F254</f>
        <v>0</v>
      </c>
      <c r="G82" s="366" t="str">
        <f>InpAct!G254</f>
        <v>%</v>
      </c>
      <c r="H82" s="67">
        <f>InpAct!H254</f>
        <v>3.3039191176470473E-2</v>
      </c>
      <c r="I82" s="366"/>
      <c r="J82" s="336">
        <f xml:space="preserve"> IF(ABS(K82) &gt; InpC!$F$9, 1, 0)</f>
        <v>1</v>
      </c>
      <c r="K82" s="116">
        <f t="shared" si="2"/>
        <v>3.3039191176470473E-2</v>
      </c>
      <c r="L82" s="116">
        <f xml:space="preserve"> IF(ABS(K82) &gt; InpC!$F$9, IF(INDEX(M82:O82, $J$5) = 0, 0, H82 / INDEX(M82:O82, $J$5) - 1), 0)</f>
        <v>0</v>
      </c>
      <c r="M82" s="497"/>
      <c r="N82" s="543">
        <v>0</v>
      </c>
      <c r="O82" s="330"/>
    </row>
    <row r="83" spans="1:15">
      <c r="A83" s="361"/>
      <c r="B83" s="365"/>
      <c r="C83" s="361"/>
      <c r="D83" s="366" t="str">
        <f>InpAct!D258</f>
        <v>PR19</v>
      </c>
      <c r="E83" s="366" t="str">
        <f>InpAct!E258</f>
        <v>WACC on RCV - CPI(H) + RPI wedge bf and additions - WWN</v>
      </c>
      <c r="F83" s="366">
        <f>InpAct!F258</f>
        <v>0</v>
      </c>
      <c r="G83" s="366" t="str">
        <f>InpAct!G258</f>
        <v>%</v>
      </c>
      <c r="H83" s="67">
        <f>InpAct!H258</f>
        <v>2.3009684466019475E-2</v>
      </c>
      <c r="I83" s="366"/>
      <c r="J83" s="336">
        <f xml:space="preserve"> IF(ABS(K83) &gt; InpC!$F$9, 1, 0)</f>
        <v>1</v>
      </c>
      <c r="K83" s="116">
        <f t="shared" si="2"/>
        <v>2.3009684466019475E-2</v>
      </c>
      <c r="L83" s="116">
        <f xml:space="preserve"> IF(ABS(K83) &gt; InpC!$F$9, IF(INDEX(M83:O83, $J$5) = 0, 0, H83 / INDEX(M83:O83, $J$5) - 1), 0)</f>
        <v>0</v>
      </c>
      <c r="M83" s="497"/>
      <c r="N83" s="543">
        <v>0</v>
      </c>
      <c r="O83" s="330"/>
    </row>
    <row r="84" spans="1:15">
      <c r="A84" s="361"/>
      <c r="B84" s="365"/>
      <c r="C84" s="361"/>
      <c r="D84" s="366" t="str">
        <f>InpAct!D271</f>
        <v>PR19</v>
      </c>
      <c r="E84" s="366" t="str">
        <f>InpAct!E271</f>
        <v>WACC real on RCV - CPI(H) bf and additions - BR</v>
      </c>
      <c r="F84" s="366">
        <f>InpAct!F271</f>
        <v>0</v>
      </c>
      <c r="G84" s="366" t="str">
        <f>InpAct!G271</f>
        <v>%</v>
      </c>
      <c r="H84" s="67">
        <f>InpAct!H271</f>
        <v>3.3039191176470473E-2</v>
      </c>
      <c r="I84" s="366"/>
      <c r="J84" s="336">
        <f xml:space="preserve"> IF(ABS(K84) &gt; InpC!$F$9, 1, 0)</f>
        <v>1</v>
      </c>
      <c r="K84" s="116">
        <f t="shared" si="2"/>
        <v>3.3039191176470473E-2</v>
      </c>
      <c r="L84" s="116">
        <f xml:space="preserve"> IF(ABS(K84) &gt; InpC!$F$9, IF(INDEX(M84:O84, $J$5) = 0, 0, H84 / INDEX(M84:O84, $J$5) - 1), 0)</f>
        <v>0</v>
      </c>
      <c r="M84" s="497"/>
      <c r="N84" s="543">
        <v>0</v>
      </c>
      <c r="O84" s="330"/>
    </row>
    <row r="85" spans="1:15">
      <c r="A85" s="361"/>
      <c r="B85" s="365"/>
      <c r="C85" s="361"/>
      <c r="D85" s="366" t="str">
        <f>InpAct!D275</f>
        <v>PR19</v>
      </c>
      <c r="E85" s="366" t="str">
        <f>InpAct!E275</f>
        <v>WACC on RCV - CPI(H) + RPI wedge bf and additions - BR</v>
      </c>
      <c r="F85" s="366">
        <f>InpAct!F275</f>
        <v>0</v>
      </c>
      <c r="G85" s="366" t="str">
        <f>InpAct!G275</f>
        <v>%</v>
      </c>
      <c r="H85" s="67">
        <f>InpAct!H275</f>
        <v>2.3009684466019475E-2</v>
      </c>
      <c r="I85" s="366"/>
      <c r="J85" s="336">
        <f xml:space="preserve"> IF(ABS(K85) &gt; InpC!$F$9, 1, 0)</f>
        <v>1</v>
      </c>
      <c r="K85" s="116">
        <f t="shared" si="2"/>
        <v>2.3009684466019475E-2</v>
      </c>
      <c r="L85" s="116">
        <f xml:space="preserve"> IF(ABS(K85) &gt; InpC!$F$9, IF(INDEX(M85:O85, $J$5) = 0, 0, H85 / INDEX(M85:O85, $J$5) - 1), 0)</f>
        <v>0</v>
      </c>
      <c r="M85" s="497"/>
      <c r="N85" s="543">
        <v>0</v>
      </c>
      <c r="O85" s="330"/>
    </row>
    <row r="86" spans="1:15">
      <c r="A86" s="361"/>
      <c r="B86" s="365"/>
      <c r="C86" s="361"/>
      <c r="D86" s="361"/>
      <c r="E86" s="366"/>
      <c r="F86" s="366"/>
      <c r="G86" s="366"/>
      <c r="H86" s="366"/>
      <c r="I86" s="366"/>
      <c r="J86" s="336">
        <f xml:space="preserve"> IF(ABS(K86) &gt; InpC!$F$9, 1, 0)</f>
        <v>0</v>
      </c>
      <c r="K86" s="85">
        <f t="shared" si="2"/>
        <v>0</v>
      </c>
      <c r="L86" s="116">
        <f xml:space="preserve"> IF(ABS(K86) &gt; InpC!$F$9, IF(INDEX(M86:O86, $J$5) = 0, 0, H86 / INDEX(M86:O86, $J$5) - 1), 0)</f>
        <v>0</v>
      </c>
      <c r="M86" s="497"/>
      <c r="N86" s="525">
        <v>0</v>
      </c>
      <c r="O86" s="330"/>
    </row>
    <row r="87" spans="1:15">
      <c r="A87" s="361"/>
      <c r="B87" s="365"/>
      <c r="C87" s="361" t="s">
        <v>259</v>
      </c>
      <c r="D87" s="361"/>
      <c r="E87" s="366"/>
      <c r="F87" s="366"/>
      <c r="G87" s="366"/>
      <c r="H87" s="366"/>
      <c r="I87" s="366"/>
      <c r="J87" s="336">
        <f xml:space="preserve"> IF(ABS(K87) &gt; InpC!$F$9, 1, 0)</f>
        <v>0</v>
      </c>
      <c r="K87" s="85">
        <f t="shared" si="2"/>
        <v>0</v>
      </c>
      <c r="L87" s="116">
        <f xml:space="preserve"> IF(ABS(K87) &gt; InpC!$F$9, IF(INDEX(M87:O87, $J$5) = 0, 0, H87 / INDEX(M87:O87, $J$5) - 1), 0)</f>
        <v>0</v>
      </c>
      <c r="M87" s="497"/>
      <c r="N87" s="525">
        <v>0</v>
      </c>
      <c r="O87" s="330"/>
    </row>
    <row r="88" spans="1:15">
      <c r="A88" s="361"/>
      <c r="B88" s="365"/>
      <c r="C88" s="361"/>
      <c r="D88" s="361"/>
      <c r="E88" s="366" t="str">
        <f>Summary_Calc!E41</f>
        <v>Change in customer numbers and residential apportionment</v>
      </c>
      <c r="F88" s="366">
        <f>Summary_Calc!F41</f>
        <v>0</v>
      </c>
      <c r="G88" s="366" t="str">
        <f>Summary_Calc!G41</f>
        <v>£</v>
      </c>
      <c r="H88" s="366">
        <f>Summary_Calc!H41</f>
        <v>-25.723046849937333</v>
      </c>
      <c r="I88" s="366"/>
      <c r="J88" s="336">
        <f xml:space="preserve"> IF(ABS(K88) &gt; InpC!$F$9, 1, 0)</f>
        <v>1</v>
      </c>
      <c r="K88" s="85">
        <f t="shared" si="2"/>
        <v>-25.723046849937333</v>
      </c>
      <c r="L88" s="116">
        <f xml:space="preserve"> IF(ABS(K88) &gt; InpC!$F$9, IF(INDEX(M88:O88, $J$5) = 0, 0, H88 / INDEX(M88:O88, $J$5) - 1), 0)</f>
        <v>0</v>
      </c>
      <c r="M88" s="497"/>
      <c r="N88" s="525">
        <v>0</v>
      </c>
      <c r="O88" s="330"/>
    </row>
    <row r="89" spans="1:15">
      <c r="A89" s="361"/>
      <c r="B89" s="365"/>
      <c r="C89" s="361"/>
      <c r="D89" s="361"/>
      <c r="E89" s="366" t="str">
        <f>Summary_Calc!E42</f>
        <v>Change in retail CTS</v>
      </c>
      <c r="F89" s="366">
        <f>Summary_Calc!F42</f>
        <v>0</v>
      </c>
      <c r="G89" s="366" t="str">
        <f>Summary_Calc!G42</f>
        <v>£</v>
      </c>
      <c r="H89" s="366">
        <f>Summary_Calc!H42</f>
        <v>-5.7072884335123604</v>
      </c>
      <c r="I89" s="366"/>
      <c r="J89" s="336">
        <f xml:space="preserve"> IF(ABS(K89) &gt; InpC!$F$9, 1, 0)</f>
        <v>1</v>
      </c>
      <c r="K89" s="85">
        <f t="shared" si="2"/>
        <v>-5.7072884335123604</v>
      </c>
      <c r="L89" s="116">
        <f xml:space="preserve"> IF(ABS(K89) &gt; InpC!$F$9, IF(INDEX(M89:O89, $J$5) = 0, 0, H89 / INDEX(M89:O89, $J$5) - 1), 0)</f>
        <v>0</v>
      </c>
      <c r="M89" s="497"/>
      <c r="N89" s="525">
        <v>0</v>
      </c>
      <c r="O89" s="330"/>
    </row>
    <row r="90" spans="1:15">
      <c r="A90" s="361"/>
      <c r="B90" s="365"/>
      <c r="C90" s="361"/>
      <c r="D90" s="361"/>
      <c r="E90" s="366" t="str">
        <f>Summary_Calc!E49</f>
        <v>Change in PAYG Totex due to change in PAYG%</v>
      </c>
      <c r="F90" s="366">
        <f>Summary_Calc!F49</f>
        <v>0</v>
      </c>
      <c r="G90" s="366" t="str">
        <f>Summary_Calc!G49</f>
        <v>£m</v>
      </c>
      <c r="H90" s="366">
        <f>Summary_Calc!H49</f>
        <v>-233.02539915210883</v>
      </c>
      <c r="I90" s="366"/>
      <c r="J90" s="336">
        <f xml:space="preserve"> IF(ABS(K90) &gt; InpC!$F$9, 1, 0)</f>
        <v>1</v>
      </c>
      <c r="K90" s="85">
        <f t="shared" si="2"/>
        <v>-233.02539915210883</v>
      </c>
      <c r="L90" s="116">
        <f xml:space="preserve"> IF(ABS(K90) &gt; InpC!$F$9, IF(INDEX(M90:O90, $J$5) = 0, 0, H90 / INDEX(M90:O90, $J$5) - 1), 0)</f>
        <v>0</v>
      </c>
      <c r="M90" s="497"/>
      <c r="N90" s="525">
        <v>0</v>
      </c>
      <c r="O90" s="330"/>
    </row>
    <row r="91" spans="1:15">
      <c r="A91" s="361"/>
      <c r="B91" s="365"/>
      <c r="C91" s="361"/>
      <c r="D91" s="361"/>
      <c r="E91" s="366" t="str">
        <f>Summary_Calc!E50</f>
        <v>Change in PAYG Totex due to change in Totex</v>
      </c>
      <c r="F91" s="366">
        <f>Summary_Calc!F50</f>
        <v>0</v>
      </c>
      <c r="G91" s="366" t="str">
        <f>Summary_Calc!G50</f>
        <v>£m</v>
      </c>
      <c r="H91" s="366">
        <f>Summary_Calc!H50</f>
        <v>159.67575777044976</v>
      </c>
      <c r="I91" s="366"/>
      <c r="J91" s="336">
        <f xml:space="preserve"> IF(ABS(K91) &gt; InpC!$F$9, 1, 0)</f>
        <v>1</v>
      </c>
      <c r="K91" s="85">
        <f t="shared" si="2"/>
        <v>159.67575777044976</v>
      </c>
      <c r="L91" s="116">
        <f xml:space="preserve"> IF(ABS(K91) &gt; InpC!$F$9, IF(INDEX(M91:O91, $J$5) = 0, 0, H91 / INDEX(M91:O91, $J$5) - 1), 0)</f>
        <v>0</v>
      </c>
      <c r="M91" s="497"/>
      <c r="N91" s="525">
        <v>0</v>
      </c>
      <c r="O91" s="330"/>
    </row>
    <row r="92" spans="1:15">
      <c r="A92" s="361"/>
      <c r="B92" s="365"/>
      <c r="C92" s="361"/>
      <c r="D92" s="361"/>
      <c r="E92" s="366" t="str">
        <f>Summary_Calc!E51</f>
        <v>Change in RCV depreciation due to change in run-off rate</v>
      </c>
      <c r="F92" s="366">
        <f>Summary_Calc!F51</f>
        <v>0</v>
      </c>
      <c r="G92" s="366" t="str">
        <f>Summary_Calc!G51</f>
        <v>£m</v>
      </c>
      <c r="H92" s="366">
        <f>Summary_Calc!H51</f>
        <v>84.571612304337492</v>
      </c>
      <c r="I92" s="366"/>
      <c r="J92" s="336">
        <f xml:space="preserve"> IF(ABS(K92) &gt; InpC!$F$9, 1, 0)</f>
        <v>1</v>
      </c>
      <c r="K92" s="85">
        <f t="shared" si="2"/>
        <v>84.571612304337492</v>
      </c>
      <c r="L92" s="116">
        <f xml:space="preserve"> IF(ABS(K92) &gt; InpC!$F$9, IF(INDEX(M92:O92, $J$5) = 0, 0, H92 / INDEX(M92:O92, $J$5) - 1), 0)</f>
        <v>0</v>
      </c>
      <c r="M92" s="497"/>
      <c r="N92" s="525">
        <v>0</v>
      </c>
      <c r="O92" s="330"/>
    </row>
    <row r="93" spans="1:15">
      <c r="A93" s="361"/>
      <c r="B93" s="365"/>
      <c r="C93" s="361"/>
      <c r="D93" s="361"/>
      <c r="E93" s="366" t="str">
        <f>Summary_Calc!E52</f>
        <v>Change in RCV depreciation due to change in RCV</v>
      </c>
      <c r="F93" s="366">
        <f>Summary_Calc!F52</f>
        <v>0</v>
      </c>
      <c r="G93" s="366" t="str">
        <f>Summary_Calc!G52</f>
        <v>£m</v>
      </c>
      <c r="H93" s="366">
        <f>Summary_Calc!H52</f>
        <v>109.51448758188991</v>
      </c>
      <c r="I93" s="366"/>
      <c r="J93" s="336">
        <f xml:space="preserve"> IF(ABS(K93) &gt; InpC!$F$9, 1, 0)</f>
        <v>1</v>
      </c>
      <c r="K93" s="85">
        <f t="shared" si="2"/>
        <v>109.51448758188991</v>
      </c>
      <c r="L93" s="116">
        <f xml:space="preserve"> IF(ABS(K93) &gt; InpC!$F$9, IF(INDEX(M93:O93, $J$5) = 0, 0, H93 / INDEX(M93:O93, $J$5) - 1), 0)</f>
        <v>0</v>
      </c>
      <c r="M93" s="497"/>
      <c r="N93" s="525">
        <v>0</v>
      </c>
      <c r="O93" s="330"/>
    </row>
    <row r="94" spans="1:15">
      <c r="A94" s="361"/>
      <c r="B94" s="365"/>
      <c r="C94" s="361"/>
      <c r="D94" s="361"/>
      <c r="E94" s="366" t="str">
        <f>Summary_Calc!E53</f>
        <v>Change in return on RCV due to change in WACC</v>
      </c>
      <c r="F94" s="366">
        <f>Summary_Calc!F53</f>
        <v>0</v>
      </c>
      <c r="G94" s="366" t="str">
        <f>Summary_Calc!G53</f>
        <v>£m</v>
      </c>
      <c r="H94" s="366">
        <f>Summary_Calc!H53</f>
        <v>-82.876182276628015</v>
      </c>
      <c r="I94" s="366"/>
      <c r="J94" s="336">
        <f xml:space="preserve"> IF(ABS(K94) &gt; InpC!$F$9, 1, 0)</f>
        <v>1</v>
      </c>
      <c r="K94" s="85">
        <f t="shared" si="2"/>
        <v>-82.876182276628015</v>
      </c>
      <c r="L94" s="116">
        <f xml:space="preserve"> IF(ABS(K94) &gt; InpC!$F$9, IF(INDEX(M94:O94, $J$5) = 0, 0, H94 / INDEX(M94:O94, $J$5) - 1), 0)</f>
        <v>0</v>
      </c>
      <c r="M94" s="497"/>
      <c r="N94" s="525">
        <v>0</v>
      </c>
      <c r="O94" s="330"/>
    </row>
    <row r="95" spans="1:15">
      <c r="A95" s="361"/>
      <c r="B95" s="365"/>
      <c r="C95" s="361"/>
      <c r="D95" s="361"/>
      <c r="E95" s="366" t="str">
        <f>Summary_Calc!E54</f>
        <v>Change in return on RCV due to change in RCV</v>
      </c>
      <c r="F95" s="366">
        <f>Summary_Calc!F54</f>
        <v>0</v>
      </c>
      <c r="G95" s="366" t="str">
        <f>Summary_Calc!G54</f>
        <v>£m</v>
      </c>
      <c r="H95" s="366">
        <f>Summary_Calc!H54</f>
        <v>75.34767666005331</v>
      </c>
      <c r="I95" s="366"/>
      <c r="J95" s="336">
        <f xml:space="preserve"> IF(ABS(K95) &gt; InpC!$F$9, 1, 0)</f>
        <v>1</v>
      </c>
      <c r="K95" s="85">
        <f t="shared" si="2"/>
        <v>75.34767666005331</v>
      </c>
      <c r="L95" s="116">
        <f xml:space="preserve"> IF(ABS(K95) &gt; InpC!$F$9, IF(INDEX(M95:O95, $J$5) = 0, 0, H95 / INDEX(M95:O95, $J$5) - 1), 0)</f>
        <v>0</v>
      </c>
      <c r="M95" s="497"/>
      <c r="N95" s="525">
        <v>0</v>
      </c>
      <c r="O95" s="330"/>
    </row>
    <row r="96" spans="1:15">
      <c r="A96" s="361"/>
      <c r="B96" s="365"/>
      <c r="C96" s="361"/>
      <c r="D96" s="361"/>
      <c r="E96" s="366" t="str">
        <f>Summary_Calc!E55</f>
        <v>Change in other wholesale items</v>
      </c>
      <c r="F96" s="366">
        <f>Summary_Calc!F55</f>
        <v>0</v>
      </c>
      <c r="G96" s="366" t="str">
        <f>Summary_Calc!G55</f>
        <v>£m</v>
      </c>
      <c r="H96" s="366">
        <f>Summary_Calc!H55</f>
        <v>-11.660829351844528</v>
      </c>
      <c r="I96" s="366"/>
      <c r="J96" s="336">
        <f xml:space="preserve"> IF(ABS(K96) &gt; InpC!$F$9, 1, 0)</f>
        <v>1</v>
      </c>
      <c r="K96" s="85">
        <f t="shared" si="2"/>
        <v>-11.660829351844528</v>
      </c>
      <c r="L96" s="116">
        <f xml:space="preserve"> IF(ABS(K96) &gt; InpC!$F$9, IF(INDEX(M96:O96, $J$5) = 0, 0, H96 / INDEX(M96:O96, $J$5) - 1), 0)</f>
        <v>0</v>
      </c>
      <c r="M96" s="497"/>
      <c r="N96" s="525">
        <v>0</v>
      </c>
      <c r="O96" s="330"/>
    </row>
    <row r="97" spans="1:15">
      <c r="A97" s="361"/>
      <c r="B97" s="365"/>
      <c r="C97" s="361"/>
      <c r="D97" s="361"/>
      <c r="E97" s="366" t="str">
        <f>Summary_Calc!E56</f>
        <v>Change in wholesale reconciliation items</v>
      </c>
      <c r="F97" s="366">
        <f>Summary_Calc!F56</f>
        <v>0</v>
      </c>
      <c r="G97" s="366" t="str">
        <f>Summary_Calc!G56</f>
        <v>£m</v>
      </c>
      <c r="H97" s="366">
        <f>Summary_Calc!H56</f>
        <v>9.6223721377527447</v>
      </c>
      <c r="I97" s="366"/>
      <c r="J97" s="336">
        <f xml:space="preserve"> IF(ABS(K97) &gt; InpC!$F$9, 1, 0)</f>
        <v>1</v>
      </c>
      <c r="K97" s="85">
        <f t="shared" si="2"/>
        <v>9.6223721377527447</v>
      </c>
      <c r="L97" s="116">
        <f xml:space="preserve"> IF(ABS(K97) &gt; InpC!$F$9, IF(INDEX(M97:O97, $J$5) = 0, 0, H97 / INDEX(M97:O97, $J$5) - 1), 0)</f>
        <v>0</v>
      </c>
      <c r="M97" s="497"/>
      <c r="N97" s="525">
        <v>0</v>
      </c>
      <c r="O97" s="330"/>
    </row>
    <row r="98" spans="1:15">
      <c r="A98" s="361"/>
      <c r="B98" s="365"/>
      <c r="C98" s="361"/>
      <c r="D98" s="361"/>
      <c r="E98" s="366" t="str">
        <f>Summary_Calc!E108</f>
        <v>Change in 5th control</v>
      </c>
      <c r="F98" s="366">
        <f>Summary_Calc!F108</f>
        <v>0</v>
      </c>
      <c r="G98" s="366" t="str">
        <f>Summary_Calc!G108</f>
        <v>£</v>
      </c>
      <c r="H98" s="366">
        <f>Summary_Calc!H108</f>
        <v>-16.084255388824719</v>
      </c>
      <c r="I98" s="366"/>
      <c r="J98" s="336">
        <f xml:space="preserve"> IF(ABS(K98) &gt; InpC!$F$9, 1, 0)</f>
        <v>1</v>
      </c>
      <c r="K98" s="85">
        <f t="shared" ref="K98" si="3" xml:space="preserve"> H98 - INDEX(M98:O98, $J$5)</f>
        <v>-16.084255388824719</v>
      </c>
      <c r="L98" s="116">
        <f xml:space="preserve"> IF(ABS(K98) &gt; InpC!$F$9, IF(INDEX(M98:O98, $J$5) = 0, 0, H98 / INDEX(M98:O98, $J$5) - 1), 0)</f>
        <v>0</v>
      </c>
      <c r="M98" s="497"/>
      <c r="N98" s="525">
        <v>0</v>
      </c>
      <c r="O98" s="330"/>
    </row>
    <row r="99" spans="1:15">
      <c r="A99" s="361"/>
      <c r="B99" s="365"/>
      <c r="C99" s="361"/>
      <c r="D99" s="361"/>
      <c r="E99" s="366" t="str">
        <f>Summary_Calc!E57</f>
        <v>Change due to all wholesale changes except customer numbers</v>
      </c>
      <c r="F99" s="366">
        <f>Summary_Calc!F57</f>
        <v>0</v>
      </c>
      <c r="G99" s="366" t="str">
        <f>Summary_Calc!G57</f>
        <v>£m</v>
      </c>
      <c r="H99" s="366">
        <f>Summary_Calc!H57</f>
        <v>111.16949567390185</v>
      </c>
      <c r="I99" s="366"/>
      <c r="J99" s="336">
        <f xml:space="preserve"> IF(ABS(K99) &gt; InpC!$F$9, 1, 0)</f>
        <v>1</v>
      </c>
      <c r="K99" s="85">
        <f t="shared" si="2"/>
        <v>111.16949567390185</v>
      </c>
      <c r="L99" s="116">
        <f xml:space="preserve"> IF(ABS(K99) &gt; InpC!$F$9, IF(INDEX(M99:O99, $J$5) = 0, 0, H99 / INDEX(M99:O99, $J$5) - 1), 0)</f>
        <v>0</v>
      </c>
      <c r="M99" s="497"/>
      <c r="N99" s="525">
        <v>0</v>
      </c>
      <c r="O99" s="330"/>
    </row>
    <row r="100" spans="1:15">
      <c r="A100" s="361"/>
      <c r="B100" s="365"/>
      <c r="C100" s="361"/>
      <c r="D100" s="361"/>
      <c r="E100" s="366"/>
      <c r="F100" s="366"/>
      <c r="G100" s="366"/>
      <c r="H100" s="366"/>
      <c r="I100" s="366"/>
      <c r="J100" s="336">
        <f xml:space="preserve"> IF(ABS(K100) &gt; InpC!$F$9, 1, 0)</f>
        <v>0</v>
      </c>
      <c r="K100" s="85">
        <f t="shared" si="2"/>
        <v>0</v>
      </c>
      <c r="L100" s="116">
        <f xml:space="preserve"> IF(ABS(K100) &gt; InpC!$F$9, IF(INDEX(M100:O100, $J$5) = 0, 0, H100 / INDEX(M100:O100, $J$5) - 1), 0)</f>
        <v>0</v>
      </c>
      <c r="M100" s="497"/>
      <c r="N100" s="525">
        <v>0</v>
      </c>
      <c r="O100" s="330"/>
    </row>
    <row r="101" spans="1:15">
      <c r="A101" s="361"/>
      <c r="B101" s="365"/>
      <c r="C101" s="361" t="s">
        <v>344</v>
      </c>
      <c r="D101" s="361"/>
      <c r="E101" s="366"/>
      <c r="F101" s="366"/>
      <c r="G101" s="366"/>
      <c r="H101" s="366"/>
      <c r="I101" s="366"/>
      <c r="J101" s="336">
        <f xml:space="preserve"> IF(ABS(K101) &gt; InpC!$F$9, 1, 0)</f>
        <v>0</v>
      </c>
      <c r="K101" s="85">
        <f t="shared" si="2"/>
        <v>0</v>
      </c>
      <c r="L101" s="116">
        <f xml:space="preserve"> IF(ABS(K101) &gt; InpC!$F$9, IF(INDEX(M101:O101, $J$5) = 0, 0, H101 / INDEX(M101:O101, $J$5) - 1), 0)</f>
        <v>0</v>
      </c>
      <c r="M101" s="497"/>
      <c r="N101" s="525">
        <v>0</v>
      </c>
      <c r="O101" s="330"/>
    </row>
    <row r="102" spans="1:15">
      <c r="A102" s="361"/>
      <c r="B102" s="365"/>
      <c r="C102" s="361"/>
      <c r="D102" s="366" t="str">
        <f>Summary_Calc!D24</f>
        <v>PR14</v>
      </c>
      <c r="E102" s="366" t="str">
        <f>Summary_Calc!E24</f>
        <v>Average combined bill - 2017/18 year average CPIH deflated</v>
      </c>
      <c r="F102" s="366">
        <f>Summary_Calc!F24</f>
        <v>0</v>
      </c>
      <c r="G102" s="366" t="str">
        <f>Summary_Calc!G24</f>
        <v>£</v>
      </c>
      <c r="H102" s="366">
        <f>Summary_Calc!H24</f>
        <v>410.54744913987486</v>
      </c>
      <c r="I102" s="366"/>
      <c r="J102" s="336">
        <f xml:space="preserve"> IF(ABS(K102) &gt; InpC!$F$9, 1, 0)</f>
        <v>1</v>
      </c>
      <c r="K102" s="85">
        <f t="shared" si="2"/>
        <v>410.54744913987486</v>
      </c>
      <c r="L102" s="116">
        <f xml:space="preserve"> IF(ABS(K102) &gt; InpC!$F$9, IF(INDEX(M102:O102, $J$5) = 0, 0, H102 / INDEX(M102:O102, $J$5) - 1), 0)</f>
        <v>0</v>
      </c>
      <c r="M102" s="497"/>
      <c r="N102" s="525">
        <v>0</v>
      </c>
      <c r="O102" s="330"/>
    </row>
    <row r="103" spans="1:15">
      <c r="A103" s="361"/>
      <c r="B103" s="365"/>
      <c r="C103" s="361"/>
      <c r="D103" s="366" t="str">
        <f>Summary_Calc!D29</f>
        <v>PR19</v>
      </c>
      <c r="E103" s="366" t="str">
        <f>Summary_Calc!E29</f>
        <v>Average bill - real</v>
      </c>
      <c r="F103" s="366">
        <f>Summary_Calc!F29</f>
        <v>0</v>
      </c>
      <c r="G103" s="366" t="str">
        <f>Summary_Calc!G29</f>
        <v>£</v>
      </c>
      <c r="H103" s="366">
        <f>Summary_Calc!H29</f>
        <v>384.3691244179509</v>
      </c>
      <c r="I103" s="366"/>
      <c r="J103" s="336">
        <f xml:space="preserve"> IF(ABS(K103) &gt; InpC!$F$9, 1, 0)</f>
        <v>1</v>
      </c>
      <c r="K103" s="85">
        <f t="shared" si="2"/>
        <v>384.3691244179509</v>
      </c>
      <c r="L103" s="116">
        <f xml:space="preserve"> IF(ABS(K103) &gt; InpC!$F$9, IF(INDEX(M103:O103, $J$5) = 0, 0, H103 / INDEX(M103:O103, $J$5) - 1), 0)</f>
        <v>0</v>
      </c>
      <c r="M103" s="497"/>
      <c r="N103" s="525">
        <v>0</v>
      </c>
      <c r="O103" s="330"/>
    </row>
    <row r="104" spans="1:15">
      <c r="A104" s="361"/>
      <c r="B104" s="365"/>
      <c r="C104" s="361"/>
      <c r="D104" s="361"/>
      <c r="E104" s="366"/>
      <c r="F104" s="366"/>
      <c r="G104" s="366"/>
      <c r="H104" s="366"/>
      <c r="I104" s="366"/>
      <c r="J104" s="336">
        <f xml:space="preserve"> IF(ABS(K104) &gt; InpC!$F$9, 1, 0)</f>
        <v>0</v>
      </c>
      <c r="K104" s="85">
        <f t="shared" si="2"/>
        <v>0</v>
      </c>
      <c r="L104" s="116">
        <f xml:space="preserve"> IF(ABS(K104) &gt; InpC!$F$9, IF(INDEX(M104:O104, $J$5) = 0, 0, H104 / INDEX(M104:O104, $J$5) - 1), 0)</f>
        <v>0</v>
      </c>
      <c r="M104" s="497"/>
      <c r="N104" s="525">
        <v>0</v>
      </c>
      <c r="O104" s="330"/>
    </row>
    <row r="105" spans="1:15">
      <c r="A105" s="361"/>
      <c r="B105" s="365"/>
      <c r="C105" s="361" t="s">
        <v>254</v>
      </c>
      <c r="D105" s="361"/>
      <c r="E105" s="366"/>
      <c r="F105" s="366"/>
      <c r="G105" s="366"/>
      <c r="H105" s="366"/>
      <c r="I105" s="366"/>
      <c r="J105" s="336">
        <f xml:space="preserve"> IF(ABS(K105) &gt; InpC!$F$9, 1, 0)</f>
        <v>0</v>
      </c>
      <c r="K105" s="85">
        <f t="shared" si="2"/>
        <v>0</v>
      </c>
      <c r="L105" s="116">
        <f xml:space="preserve"> IF(ABS(K105) &gt; InpC!$F$9, IF(INDEX(M105:O105, $J$5) = 0, 0, H105 / INDEX(M105:O105, $J$5) - 1), 0)</f>
        <v>0</v>
      </c>
      <c r="M105" s="497"/>
      <c r="N105" s="525">
        <v>0</v>
      </c>
      <c r="O105" s="330"/>
    </row>
    <row r="106" spans="1:15">
      <c r="A106" s="361"/>
      <c r="B106" s="365"/>
      <c r="C106" s="361"/>
      <c r="D106" s="361"/>
      <c r="E106" s="366" t="str">
        <f>Summary_Calc!E40</f>
        <v>Change in average combined bill</v>
      </c>
      <c r="F106" s="366">
        <f>Summary_Calc!F40</f>
        <v>0</v>
      </c>
      <c r="G106" s="366" t="str">
        <f>Summary_Calc!G40</f>
        <v>£</v>
      </c>
      <c r="H106" s="366">
        <f>Summary_Calc!H40</f>
        <v>-26.178324721923957</v>
      </c>
      <c r="I106" s="366"/>
      <c r="J106" s="336">
        <f xml:space="preserve"> IF(ABS(K106) &gt; InpC!$F$9, 1, 0)</f>
        <v>1</v>
      </c>
      <c r="K106" s="85">
        <f t="shared" si="2"/>
        <v>-26.178324721923957</v>
      </c>
      <c r="L106" s="116">
        <f xml:space="preserve"> IF(ABS(K106) &gt; InpC!$F$9, IF(INDEX(M106:O106, $J$5) = 0, 0, H106 / INDEX(M106:O106, $J$5) - 1), 0)</f>
        <v>0</v>
      </c>
      <c r="M106" s="497"/>
      <c r="N106" s="525">
        <v>0</v>
      </c>
      <c r="O106" s="330"/>
    </row>
    <row r="107" spans="1:15">
      <c r="A107" s="361"/>
      <c r="B107" s="365"/>
      <c r="C107" s="361"/>
      <c r="D107" s="361"/>
      <c r="E107" s="366" t="str">
        <f>Summary_Calc!E41</f>
        <v>Change in customer numbers and residential apportionment</v>
      </c>
      <c r="F107" s="366">
        <f>Summary_Calc!F41</f>
        <v>0</v>
      </c>
      <c r="G107" s="366" t="str">
        <f>Summary_Calc!G41</f>
        <v>£</v>
      </c>
      <c r="H107" s="366">
        <f>Summary_Calc!H41</f>
        <v>-25.723046849937333</v>
      </c>
      <c r="I107" s="366"/>
      <c r="J107" s="336">
        <f xml:space="preserve"> IF(ABS(K107) &gt; InpC!$F$9, 1, 0)</f>
        <v>1</v>
      </c>
      <c r="K107" s="85">
        <f t="shared" ref="K107:K117" si="4" xml:space="preserve"> H107 - INDEX(M107:O107, $J$5)</f>
        <v>-25.723046849937333</v>
      </c>
      <c r="L107" s="116">
        <f xml:space="preserve"> IF(ABS(K107) &gt; InpC!$F$9, IF(INDEX(M107:O107, $J$5) = 0, 0, H107 / INDEX(M107:O107, $J$5) - 1), 0)</f>
        <v>0</v>
      </c>
      <c r="M107" s="497"/>
      <c r="N107" s="525">
        <v>0</v>
      </c>
      <c r="O107" s="330"/>
    </row>
    <row r="108" spans="1:15">
      <c r="A108" s="361"/>
      <c r="B108" s="365"/>
      <c r="C108" s="361"/>
      <c r="D108" s="361"/>
      <c r="E108" s="366" t="str">
        <f>Summary_Calc!E42</f>
        <v>Change in retail CTS</v>
      </c>
      <c r="F108" s="366">
        <f>Summary_Calc!F42</f>
        <v>0</v>
      </c>
      <c r="G108" s="366" t="str">
        <f>Summary_Calc!G42</f>
        <v>£</v>
      </c>
      <c r="H108" s="366">
        <f>Summary_Calc!H42</f>
        <v>-5.7072884335123604</v>
      </c>
      <c r="I108" s="366"/>
      <c r="J108" s="336">
        <f xml:space="preserve"> IF(ABS(K108) &gt; InpC!$F$9, 1, 0)</f>
        <v>1</v>
      </c>
      <c r="K108" s="85">
        <f t="shared" si="4"/>
        <v>-5.7072884335123604</v>
      </c>
      <c r="L108" s="116">
        <f xml:space="preserve"> IF(ABS(K108) &gt; InpC!$F$9, IF(INDEX(M108:O108, $J$5) = 0, 0, H108 / INDEX(M108:O108, $J$5) - 1), 0)</f>
        <v>0</v>
      </c>
      <c r="M108" s="497"/>
      <c r="N108" s="525">
        <v>0</v>
      </c>
      <c r="O108" s="330"/>
    </row>
    <row r="109" spans="1:15">
      <c r="A109" s="361"/>
      <c r="B109" s="365"/>
      <c r="C109" s="361"/>
      <c r="D109" s="361"/>
      <c r="E109" s="366" t="str">
        <f>Summary_Calc!E89</f>
        <v>Change in RCV depreciation due to change in RCV (per customer)</v>
      </c>
      <c r="F109" s="366">
        <f>Summary_Calc!F89</f>
        <v>0</v>
      </c>
      <c r="G109" s="366" t="str">
        <f>Summary_Calc!G89</f>
        <v>£</v>
      </c>
      <c r="H109" s="366">
        <f>Summary_Calc!H89</f>
        <v>19.893927807903925</v>
      </c>
      <c r="I109" s="366"/>
      <c r="J109" s="336">
        <f xml:space="preserve"> IF(ABS(K109) &gt; InpC!$F$9, 1, 0)</f>
        <v>1</v>
      </c>
      <c r="K109" s="85">
        <f t="shared" si="4"/>
        <v>19.893927807903925</v>
      </c>
      <c r="L109" s="116">
        <f xml:space="preserve"> IF(ABS(K109) &gt; InpC!$F$9, IF(INDEX(M109:O109, $J$5) = 0, 0, H109 / INDEX(M109:O109, $J$5) - 1), 0)</f>
        <v>0</v>
      </c>
      <c r="M109" s="497"/>
      <c r="N109" s="525">
        <v>0</v>
      </c>
      <c r="O109" s="330"/>
    </row>
    <row r="110" spans="1:15">
      <c r="A110" s="361"/>
      <c r="B110" s="365"/>
      <c r="C110" s="361"/>
      <c r="D110" s="361"/>
      <c r="E110" s="366" t="str">
        <f>Summary_Calc!E90</f>
        <v>Change in Return on RCV due to change in RCV (per customer)</v>
      </c>
      <c r="F110" s="366">
        <f>Summary_Calc!F90</f>
        <v>0</v>
      </c>
      <c r="G110" s="366" t="str">
        <f>Summary_Calc!G90</f>
        <v>£</v>
      </c>
      <c r="H110" s="366">
        <f>Summary_Calc!H90</f>
        <v>13.727154619321974</v>
      </c>
      <c r="I110" s="366"/>
      <c r="J110" s="336">
        <f xml:space="preserve"> IF(ABS(K110) &gt; InpC!$F$9, 1, 0)</f>
        <v>1</v>
      </c>
      <c r="K110" s="85">
        <f t="shared" si="4"/>
        <v>13.727154619321974</v>
      </c>
      <c r="L110" s="116">
        <f xml:space="preserve"> IF(ABS(K110) &gt; InpC!$F$9, IF(INDEX(M110:O110, $J$5) = 0, 0, H110 / INDEX(M110:O110, $J$5) - 1), 0)</f>
        <v>0</v>
      </c>
      <c r="M110" s="497"/>
      <c r="N110" s="525">
        <v>0</v>
      </c>
      <c r="O110" s="330"/>
    </row>
    <row r="111" spans="1:15">
      <c r="A111" s="361"/>
      <c r="B111" s="365"/>
      <c r="C111" s="361"/>
      <c r="D111" s="361"/>
      <c r="E111" s="366" t="str">
        <f>Summary_Calc!E112</f>
        <v>Change in PAYG%</v>
      </c>
      <c r="F111" s="366">
        <f>Summary_Calc!F112</f>
        <v>0</v>
      </c>
      <c r="G111" s="366" t="str">
        <f>Summary_Calc!G112</f>
        <v>£</v>
      </c>
      <c r="H111" s="366">
        <f>Summary_Calc!H112</f>
        <v>-41.391618617204166</v>
      </c>
      <c r="I111" s="366"/>
      <c r="J111" s="336">
        <f xml:space="preserve"> IF(ABS(K111) &gt; InpC!$F$9, 1, 0)</f>
        <v>1</v>
      </c>
      <c r="K111" s="85">
        <f t="shared" si="4"/>
        <v>-41.391618617204166</v>
      </c>
      <c r="L111" s="116">
        <f xml:space="preserve"> IF(ABS(K111) &gt; InpC!$F$9, IF(INDEX(M111:O111, $J$5) = 0, 0, H111 / INDEX(M111:O111, $J$5) - 1), 0)</f>
        <v>0</v>
      </c>
      <c r="M111" s="497"/>
      <c r="N111" s="525">
        <v>0</v>
      </c>
      <c r="O111" s="330"/>
    </row>
    <row r="112" spans="1:15">
      <c r="A112" s="361"/>
      <c r="B112" s="365"/>
      <c r="C112" s="361"/>
      <c r="D112" s="361"/>
      <c r="E112" s="366" t="str">
        <f>Summary_Calc!E111</f>
        <v>Change in Totex</v>
      </c>
      <c r="F112" s="366">
        <f>Summary_Calc!F111</f>
        <v>0</v>
      </c>
      <c r="G112" s="366" t="str">
        <f>Summary_Calc!G111</f>
        <v>£</v>
      </c>
      <c r="H112" s="366">
        <f>Summary_Calc!H111</f>
        <v>28.368434114713196</v>
      </c>
      <c r="I112" s="366"/>
      <c r="J112" s="336">
        <f xml:space="preserve"> IF(ABS(K112) &gt; InpC!$F$9, 1, 0)</f>
        <v>1</v>
      </c>
      <c r="K112" s="85">
        <f t="shared" si="4"/>
        <v>28.368434114713196</v>
      </c>
      <c r="L112" s="116">
        <f xml:space="preserve"> IF(ABS(K112) &gt; InpC!$F$9, IF(INDEX(M112:O112, $J$5) = 0, 0, H112 / INDEX(M112:O112, $J$5) - 1), 0)</f>
        <v>0</v>
      </c>
      <c r="M112" s="497"/>
      <c r="N112" s="525">
        <v>0</v>
      </c>
      <c r="O112" s="330"/>
    </row>
    <row r="113" spans="1:15">
      <c r="A113" s="361"/>
      <c r="B113" s="365"/>
      <c r="C113" s="361"/>
      <c r="D113" s="361"/>
      <c r="E113" s="366" t="str">
        <f>Summary_Calc!E113</f>
        <v>Change in Run-off rate</v>
      </c>
      <c r="F113" s="366">
        <f>Summary_Calc!F113</f>
        <v>0</v>
      </c>
      <c r="G113" s="366" t="str">
        <f>Summary_Calc!G113</f>
        <v>£</v>
      </c>
      <c r="H113" s="366">
        <f>Summary_Calc!H113</f>
        <v>15.817690514840224</v>
      </c>
      <c r="I113" s="366"/>
      <c r="J113" s="336">
        <f xml:space="preserve"> IF(ABS(K113) &gt; InpC!$F$9, 1, 0)</f>
        <v>1</v>
      </c>
      <c r="K113" s="85">
        <f t="shared" si="4"/>
        <v>15.817690514840224</v>
      </c>
      <c r="L113" s="116">
        <f xml:space="preserve"> IF(ABS(K113) &gt; InpC!$F$9, IF(INDEX(M113:O113, $J$5) = 0, 0, H113 / INDEX(M113:O113, $J$5) - 1), 0)</f>
        <v>0</v>
      </c>
      <c r="M113" s="497"/>
      <c r="N113" s="525">
        <v>0</v>
      </c>
      <c r="O113" s="330"/>
    </row>
    <row r="114" spans="1:15">
      <c r="A114" s="361"/>
      <c r="B114" s="365"/>
      <c r="C114" s="361"/>
      <c r="D114" s="361"/>
      <c r="E114" s="366" t="str">
        <f>Summary_Calc!E110</f>
        <v>Change in RCV</v>
      </c>
      <c r="F114" s="366">
        <f>Summary_Calc!F110</f>
        <v>0</v>
      </c>
      <c r="G114" s="366" t="str">
        <f>Summary_Calc!G110</f>
        <v>£</v>
      </c>
      <c r="H114" s="366">
        <f>Summary_Calc!H110</f>
        <v>33.6210824272259</v>
      </c>
      <c r="I114" s="366"/>
      <c r="J114" s="336">
        <f xml:space="preserve"> IF(ABS(K114) &gt; InpC!$F$9, 1, 0)</f>
        <v>1</v>
      </c>
      <c r="K114" s="85">
        <f t="shared" si="4"/>
        <v>33.6210824272259</v>
      </c>
      <c r="L114" s="116">
        <f xml:space="preserve"> IF(ABS(K114) &gt; InpC!$F$9, IF(INDEX(M114:O114, $J$5) = 0, 0, H114 / INDEX(M114:O114, $J$5) - 1), 0)</f>
        <v>0</v>
      </c>
      <c r="M114" s="497"/>
      <c r="N114" s="525">
        <v>0</v>
      </c>
      <c r="O114" s="330"/>
    </row>
    <row r="115" spans="1:15">
      <c r="A115" s="361"/>
      <c r="B115" s="365"/>
      <c r="C115" s="361"/>
      <c r="D115" s="361"/>
      <c r="E115" s="366" t="str">
        <f>Summary_Calc!E114</f>
        <v>Change in WACC</v>
      </c>
      <c r="F115" s="366">
        <f>Summary_Calc!F114</f>
        <v>0</v>
      </c>
      <c r="G115" s="366" t="str">
        <f>Summary_Calc!G114</f>
        <v>£</v>
      </c>
      <c r="H115" s="366">
        <f>Summary_Calc!H114</f>
        <v>-13.92243598939918</v>
      </c>
      <c r="I115" s="366"/>
      <c r="J115" s="336">
        <f xml:space="preserve"> IF(ABS(K115) &gt; InpC!$F$9, 1, 0)</f>
        <v>1</v>
      </c>
      <c r="K115" s="85">
        <f t="shared" si="4"/>
        <v>-13.92243598939918</v>
      </c>
      <c r="L115" s="116">
        <f xml:space="preserve"> IF(ABS(K115) &gt; InpC!$F$9, IF(INDEX(M115:O115, $J$5) = 0, 0, H115 / INDEX(M115:O115, $J$5) - 1), 0)</f>
        <v>0</v>
      </c>
      <c r="M115" s="497"/>
      <c r="N115" s="525">
        <v>0</v>
      </c>
      <c r="O115" s="330"/>
    </row>
    <row r="116" spans="1:15">
      <c r="A116" s="361"/>
      <c r="B116" s="365"/>
      <c r="C116" s="361"/>
      <c r="D116" s="361"/>
      <c r="E116" s="366" t="str">
        <f>Summary_Calc!E115</f>
        <v>Change in Other wholesale items</v>
      </c>
      <c r="F116" s="366">
        <f>Summary_Calc!F115</f>
        <v>0</v>
      </c>
      <c r="G116" s="366" t="str">
        <f>Summary_Calc!G115</f>
        <v>£</v>
      </c>
      <c r="H116" s="366">
        <f>Summary_Calc!H115</f>
        <v>-2.407934706747386</v>
      </c>
      <c r="I116" s="366"/>
      <c r="J116" s="336">
        <f xml:space="preserve"> IF(ABS(K116) &gt; InpC!$F$9, 1, 0)</f>
        <v>1</v>
      </c>
      <c r="K116" s="85">
        <f t="shared" si="4"/>
        <v>-2.407934706747386</v>
      </c>
      <c r="L116" s="116">
        <f xml:space="preserve"> IF(ABS(K116) &gt; InpC!$F$9, IF(INDEX(M116:O116, $J$5) = 0, 0, H116 / INDEX(M116:O116, $J$5) - 1), 0)</f>
        <v>0</v>
      </c>
      <c r="M116" s="497"/>
      <c r="N116" s="525">
        <v>0</v>
      </c>
      <c r="O116" s="330"/>
    </row>
    <row r="117" spans="1:15">
      <c r="A117" s="361"/>
      <c r="B117" s="365"/>
      <c r="C117" s="361"/>
      <c r="D117" s="361"/>
      <c r="E117" s="366" t="str">
        <f>Summary_Calc!E116</f>
        <v>Change in Wholesale reconciliations items</v>
      </c>
      <c r="F117" s="366">
        <f>Summary_Calc!F116</f>
        <v>0</v>
      </c>
      <c r="G117" s="366" t="str">
        <f>Summary_Calc!G116</f>
        <v>£</v>
      </c>
      <c r="H117" s="366">
        <f>Summary_Calc!H116</f>
        <v>1.2510482706703037</v>
      </c>
      <c r="I117" s="366"/>
      <c r="J117" s="336">
        <f xml:space="preserve"> IF(ABS(K117) &gt; InpC!$F$9, 1, 0)</f>
        <v>1</v>
      </c>
      <c r="K117" s="85">
        <f t="shared" si="4"/>
        <v>1.2510482706703037</v>
      </c>
      <c r="L117" s="116">
        <f xml:space="preserve"> IF(ABS(K117) &gt; InpC!$F$9, IF(INDEX(M117:O117, $J$5) = 0, 0, H117 / INDEX(M117:O117, $J$5) - 1), 0)</f>
        <v>0</v>
      </c>
      <c r="M117" s="497"/>
      <c r="N117" s="525">
        <v>0</v>
      </c>
      <c r="O117" s="330"/>
    </row>
    <row r="118" spans="1:15">
      <c r="A118" s="517"/>
      <c r="B118" s="516"/>
      <c r="C118" s="526"/>
      <c r="D118" s="517"/>
      <c r="E118" s="527"/>
      <c r="F118" s="527"/>
      <c r="G118" s="527"/>
      <c r="H118" s="518"/>
      <c r="I118" s="120"/>
      <c r="J118" s="85"/>
      <c r="K118" s="85"/>
      <c r="L118" s="116"/>
      <c r="M118" s="497"/>
      <c r="N118" s="525"/>
      <c r="O118" s="330"/>
    </row>
    <row r="119" spans="1:15" s="600" customFormat="1" ht="15" customHeight="1" collapsed="1">
      <c r="A119" s="507" t="s">
        <v>244</v>
      </c>
      <c r="B119" s="507"/>
      <c r="C119" s="508"/>
      <c r="D119" s="509"/>
      <c r="E119" s="510"/>
      <c r="F119" s="509"/>
      <c r="G119" s="510"/>
      <c r="H119" s="511"/>
      <c r="I119" s="510"/>
      <c r="J119" s="510"/>
      <c r="K119" s="512"/>
      <c r="L119" s="513"/>
      <c r="M119" s="514"/>
      <c r="N119" s="511"/>
      <c r="O119" s="515"/>
    </row>
    <row r="120" spans="1:15">
      <c r="A120" s="516"/>
      <c r="B120" s="516"/>
      <c r="C120" s="526"/>
      <c r="D120" s="517"/>
      <c r="E120" s="527"/>
      <c r="F120" s="119"/>
      <c r="G120" s="527"/>
      <c r="H120" s="483"/>
      <c r="I120" s="523"/>
      <c r="J120" s="119"/>
      <c r="K120" s="518"/>
      <c r="L120" s="528"/>
      <c r="M120" s="497"/>
      <c r="N120" s="520"/>
      <c r="O120" s="330"/>
    </row>
    <row r="121" spans="1:15">
      <c r="A121" s="367"/>
      <c r="B121" s="367"/>
      <c r="C121" s="368"/>
      <c r="D121" s="369"/>
      <c r="E121" s="529" t="s">
        <v>245</v>
      </c>
      <c r="F121" s="370"/>
      <c r="G121" s="529"/>
      <c r="H121" s="530">
        <f ca="1" xml:space="preserve"> TODAY()</f>
        <v>45856</v>
      </c>
      <c r="I121" s="531"/>
      <c r="J121" s="119"/>
      <c r="M121" s="371"/>
      <c r="N121" s="372">
        <v>43194</v>
      </c>
      <c r="O121" s="533"/>
    </row>
    <row r="122" spans="1:15">
      <c r="A122" s="373"/>
      <c r="B122" s="373"/>
      <c r="C122" s="374"/>
      <c r="D122" s="375"/>
      <c r="E122" s="529" t="s">
        <v>246</v>
      </c>
      <c r="F122" s="149"/>
      <c r="G122" s="534"/>
      <c r="H122" s="535">
        <f ca="1" xml:space="preserve"> NOW()</f>
        <v>45856.522953356478</v>
      </c>
      <c r="J122" s="119"/>
      <c r="M122" s="376"/>
      <c r="N122" s="377">
        <v>43166.595949074072</v>
      </c>
      <c r="O122" s="536"/>
    </row>
    <row r="123" spans="1:15" ht="39.6">
      <c r="A123" s="7"/>
      <c r="B123" s="7"/>
      <c r="C123" s="8"/>
      <c r="D123" s="120"/>
      <c r="E123" s="119" t="s">
        <v>247</v>
      </c>
      <c r="F123" s="149"/>
      <c r="G123" s="119"/>
      <c r="H123" s="483" t="str">
        <f ca="1" xml:space="preserve"> MID(CELL("filename",$A$1), SEARCH("[", CELL("filename",$A$1)) + 1, SEARCH("]", CELL("filename",$A$1)) - SEARCH("[", CELL("filename",$A$1)) - 1)</f>
        <v>bill-waterfall-model-april-2019.xlsx</v>
      </c>
      <c r="J123" s="119"/>
      <c r="M123" s="506"/>
      <c r="N123" s="378" t="s">
        <v>340</v>
      </c>
      <c r="O123" s="329"/>
    </row>
    <row r="124" spans="1:15">
      <c r="A124" s="537"/>
      <c r="B124" s="537"/>
      <c r="C124" s="538"/>
      <c r="D124" s="539"/>
      <c r="E124" s="501" t="s">
        <v>87</v>
      </c>
      <c r="F124" s="540"/>
      <c r="G124" s="541"/>
      <c r="H124" s="500"/>
      <c r="I124" s="504"/>
      <c r="J124" s="504" t="s">
        <v>248</v>
      </c>
      <c r="K124" s="500"/>
      <c r="L124" s="505"/>
      <c r="M124" s="506"/>
      <c r="N124" s="360"/>
      <c r="O124" s="329"/>
    </row>
    <row r="125" spans="1:15">
      <c r="A125" s="7"/>
      <c r="B125" s="7"/>
      <c r="C125" s="8"/>
      <c r="D125" s="145"/>
      <c r="E125" s="119"/>
      <c r="F125" s="149"/>
      <c r="G125" s="119"/>
      <c r="H125" s="483"/>
      <c r="J125" s="119"/>
      <c r="K125" s="483"/>
      <c r="L125" s="490"/>
      <c r="M125" s="506"/>
      <c r="N125" s="355"/>
      <c r="O125" s="329"/>
    </row>
    <row r="126" spans="1:15">
      <c r="A126" s="7"/>
      <c r="B126" s="7"/>
      <c r="C126" s="8"/>
      <c r="D126" s="145"/>
      <c r="E126" s="119" t="s">
        <v>249</v>
      </c>
      <c r="F126" s="149"/>
      <c r="G126" s="119"/>
      <c r="H126" s="483"/>
      <c r="J126" s="119"/>
      <c r="K126" s="483"/>
      <c r="L126" s="490"/>
      <c r="M126" s="506"/>
      <c r="N126" s="379" t="s">
        <v>339</v>
      </c>
      <c r="O126" s="329"/>
    </row>
    <row r="127" spans="1:15">
      <c r="A127" s="7"/>
      <c r="B127" s="7"/>
      <c r="C127" s="8"/>
      <c r="D127" s="145"/>
      <c r="E127" s="119" t="s">
        <v>250</v>
      </c>
      <c r="F127" s="119"/>
      <c r="G127" s="119"/>
      <c r="H127" s="483"/>
      <c r="J127" s="119"/>
      <c r="K127" s="483"/>
      <c r="L127" s="490"/>
      <c r="M127" s="506"/>
      <c r="N127" s="542"/>
      <c r="O127" s="329"/>
    </row>
    <row r="128" spans="1:15">
      <c r="A128" s="11"/>
      <c r="B128" s="11"/>
      <c r="C128" s="12"/>
      <c r="D128" s="149"/>
      <c r="E128" s="119"/>
      <c r="F128" s="119"/>
      <c r="G128" s="119"/>
      <c r="H128" s="483"/>
      <c r="J128" s="119"/>
      <c r="K128" s="483"/>
      <c r="L128" s="490"/>
      <c r="M128" s="506"/>
      <c r="N128" s="483"/>
      <c r="O128" s="329"/>
    </row>
    <row r="129" spans="1:15" s="601" customFormat="1">
      <c r="A129" s="38" t="s">
        <v>6</v>
      </c>
      <c r="B129" s="38"/>
      <c r="C129" s="39"/>
      <c r="D129" s="162"/>
      <c r="E129" s="39"/>
      <c r="F129" s="41"/>
      <c r="G129" s="38"/>
      <c r="H129" s="38"/>
      <c r="I129" s="38"/>
      <c r="J129" s="38"/>
      <c r="K129" s="38"/>
      <c r="L129" s="38"/>
      <c r="M129" s="38"/>
      <c r="N129" s="38"/>
      <c r="O129" s="38"/>
    </row>
  </sheetData>
  <conditionalFormatting sqref="F3 J11:J101">
    <cfRule type="cellIs" dxfId="25" priority="246" stopIfTrue="1" operator="notEqual">
      <formula>0</formula>
    </cfRule>
    <cfRule type="cellIs" dxfId="24" priority="247" stopIfTrue="1" operator="equal">
      <formula>""</formula>
    </cfRule>
  </conditionalFormatting>
  <conditionalFormatting sqref="F2">
    <cfRule type="cellIs" dxfId="23" priority="140" stopIfTrue="1" operator="notEqual">
      <formula>0</formula>
    </cfRule>
    <cfRule type="cellIs" dxfId="22" priority="141" stopIfTrue="1" operator="equal">
      <formula>""</formula>
    </cfRule>
  </conditionalFormatting>
  <conditionalFormatting sqref="J102:J103">
    <cfRule type="cellIs" dxfId="21" priority="9" stopIfTrue="1" operator="notEqual">
      <formula>0</formula>
    </cfRule>
    <cfRule type="cellIs" dxfId="20" priority="10" stopIfTrue="1" operator="equal">
      <formula>""</formula>
    </cfRule>
  </conditionalFormatting>
  <conditionalFormatting sqref="J104:J117">
    <cfRule type="cellIs" dxfId="19" priority="5" stopIfTrue="1" operator="notEqual">
      <formula>0</formula>
    </cfRule>
    <cfRule type="cellIs" dxfId="18" priority="6" stopIfTrue="1" operator="equal">
      <formula>""</formula>
    </cfRule>
  </conditionalFormatting>
  <conditionalFormatting sqref="J2">
    <cfRule type="cellIs" dxfId="17" priority="1" stopIfTrue="1" operator="notEqual">
      <formula>0</formula>
    </cfRule>
    <cfRule type="cellIs" dxfId="16" priority="2" stopIfTrue="1" operator="equal">
      <formula>""</formula>
    </cfRule>
  </conditionalFormatting>
  <dataValidations count="1">
    <dataValidation type="list" allowBlank="1" showInputMessage="1" showErrorMessage="1" sqref="H6" xr:uid="{00000000-0002-0000-1300-000000000000}">
      <formula1>$M$6:$N$6</formula1>
    </dataValidation>
  </dataValidations>
  <pageMargins left="0.70866141732283472" right="0.70866141732283472" top="0.74803149606299213" bottom="0.74803149606299213" header="0.31496062992125984" footer="0.31496062992125984"/>
  <pageSetup paperSize="9" scale="48" fitToHeight="0" orientation="portrait" r:id="rId1"/>
  <headerFooter>
    <oddHeader>&amp;LPage &amp;P of &amp;N&amp;CSheet:&amp;A</oddHeader>
    <oddFooter>&amp;L&amp;F ( Printed on &amp;D at &amp;T )&amp;ROFWAT</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6">
    <tabColor rgb="FFC0C0C0"/>
    <pageSetUpPr fitToPage="1"/>
  </sheetPr>
  <dimension ref="A1:AK317"/>
  <sheetViews>
    <sheetView showGridLines="0" zoomScale="90" zoomScaleNormal="90" workbookViewId="0">
      <selection activeCell="B41" sqref="B41"/>
    </sheetView>
  </sheetViews>
  <sheetFormatPr defaultColWidth="0" defaultRowHeight="13.2" zeroHeight="1"/>
  <cols>
    <col min="1" max="1" width="1.21875" style="106" customWidth="1"/>
    <col min="2" max="2" width="1.21875" style="164" customWidth="1"/>
    <col min="3" max="3" width="2" style="164" customWidth="1"/>
    <col min="4" max="4" width="15.5546875" style="108" customWidth="1"/>
    <col min="5" max="5" width="139.21875" style="109" customWidth="1"/>
    <col min="6" max="6" width="1.21875" style="358" customWidth="1"/>
    <col min="7" max="16384" width="9.21875" style="358" hidden="1"/>
  </cols>
  <sheetData>
    <row r="1" spans="1:37" s="416" customFormat="1" ht="24.6">
      <c r="A1" s="461" t="str">
        <f ca="1" xml:space="preserve"> RIGHT(CELL("filename", $A$1), LEN(CELL("filename", $A$1)) - SEARCH("]", CELL("filename", $A$1)))</f>
        <v>User Guide</v>
      </c>
      <c r="B1" s="462"/>
      <c r="C1" s="462"/>
      <c r="D1" s="463"/>
      <c r="E1" s="464"/>
    </row>
    <row r="2" spans="1:37" ht="4.95" customHeight="1" thickBot="1">
      <c r="A2" s="204"/>
      <c r="B2" s="204"/>
      <c r="C2" s="358"/>
      <c r="D2" s="359"/>
      <c r="E2" s="204"/>
    </row>
    <row r="3" spans="1:37" s="453" customFormat="1" ht="15" customHeight="1" thickBot="1">
      <c r="A3" s="448"/>
      <c r="B3" s="449" t="s">
        <v>315</v>
      </c>
      <c r="C3" s="450"/>
      <c r="D3" s="451"/>
      <c r="E3" s="452"/>
    </row>
    <row r="4" spans="1:37" ht="4.95" customHeight="1">
      <c r="A4" s="204"/>
      <c r="B4" s="424"/>
      <c r="C4" s="358"/>
      <c r="D4" s="359"/>
      <c r="E4" s="425"/>
    </row>
    <row r="5" spans="1:37" s="447" customFormat="1">
      <c r="A5" s="204"/>
      <c r="B5" s="465"/>
      <c r="C5" s="205"/>
      <c r="D5" s="436"/>
      <c r="E5" s="466" t="s">
        <v>324</v>
      </c>
    </row>
    <row r="6" spans="1:37" s="447" customFormat="1">
      <c r="A6" s="204"/>
      <c r="B6" s="465"/>
      <c r="C6" s="205"/>
      <c r="D6" s="436"/>
      <c r="E6" s="467"/>
    </row>
    <row r="7" spans="1:37" s="447" customFormat="1">
      <c r="A7" s="204"/>
      <c r="B7" s="465"/>
      <c r="C7" s="205"/>
      <c r="D7" s="468" t="s">
        <v>316</v>
      </c>
      <c r="E7" s="467"/>
    </row>
    <row r="8" spans="1:37" s="447" customFormat="1">
      <c r="A8" s="204"/>
      <c r="B8" s="465"/>
      <c r="C8" s="205"/>
      <c r="D8" s="468"/>
      <c r="E8" s="467" t="s">
        <v>293</v>
      </c>
      <c r="F8" s="467"/>
      <c r="G8" s="467"/>
      <c r="H8" s="467"/>
      <c r="I8" s="467"/>
      <c r="J8" s="467"/>
      <c r="K8" s="467"/>
      <c r="L8" s="467"/>
      <c r="M8" s="467"/>
      <c r="N8" s="467"/>
      <c r="O8" s="467"/>
      <c r="P8" s="467"/>
      <c r="Q8" s="467"/>
      <c r="R8" s="467"/>
      <c r="S8" s="467"/>
      <c r="T8" s="467"/>
      <c r="U8" s="467"/>
      <c r="V8" s="467"/>
      <c r="W8" s="467"/>
      <c r="X8" s="467"/>
      <c r="Y8" s="467"/>
      <c r="Z8" s="467"/>
      <c r="AA8" s="467"/>
      <c r="AB8" s="467"/>
      <c r="AC8" s="467"/>
      <c r="AD8" s="467"/>
      <c r="AE8" s="467"/>
      <c r="AF8" s="467"/>
      <c r="AG8" s="467"/>
      <c r="AH8" s="467"/>
      <c r="AI8" s="467"/>
      <c r="AJ8" s="467"/>
      <c r="AK8" s="467"/>
    </row>
    <row r="9" spans="1:37" s="447" customFormat="1">
      <c r="A9" s="204"/>
      <c r="B9" s="465"/>
      <c r="C9" s="205"/>
      <c r="D9" s="468"/>
      <c r="E9" s="467"/>
      <c r="F9" s="467"/>
      <c r="G9" s="467"/>
      <c r="H9" s="467"/>
      <c r="I9" s="467"/>
      <c r="J9" s="467"/>
      <c r="K9" s="467"/>
      <c r="L9" s="467"/>
      <c r="M9" s="467"/>
      <c r="N9" s="467"/>
      <c r="O9" s="467"/>
      <c r="P9" s="467"/>
      <c r="Q9" s="467"/>
      <c r="R9" s="467"/>
      <c r="S9" s="467"/>
      <c r="T9" s="467"/>
      <c r="U9" s="467"/>
      <c r="V9" s="467"/>
      <c r="W9" s="467"/>
      <c r="X9" s="467"/>
      <c r="Y9" s="467"/>
      <c r="Z9" s="467"/>
      <c r="AA9" s="467"/>
      <c r="AB9" s="467"/>
      <c r="AC9" s="467"/>
      <c r="AD9" s="467"/>
      <c r="AE9" s="467"/>
      <c r="AF9" s="467"/>
      <c r="AG9" s="467"/>
      <c r="AH9" s="467"/>
      <c r="AI9" s="467"/>
      <c r="AJ9" s="467"/>
      <c r="AK9" s="467"/>
    </row>
    <row r="10" spans="1:37" s="447" customFormat="1">
      <c r="A10" s="204"/>
      <c r="B10" s="465"/>
      <c r="C10" s="205"/>
      <c r="D10" s="468"/>
      <c r="E10" s="467" t="s">
        <v>325</v>
      </c>
      <c r="F10" s="467"/>
      <c r="G10" s="467"/>
      <c r="H10" s="467"/>
      <c r="I10" s="467"/>
      <c r="J10" s="467"/>
      <c r="K10" s="467"/>
      <c r="L10" s="467"/>
      <c r="M10" s="467"/>
      <c r="N10" s="467"/>
      <c r="O10" s="467"/>
      <c r="P10" s="467"/>
      <c r="Q10" s="467"/>
      <c r="R10" s="467"/>
      <c r="S10" s="467"/>
      <c r="T10" s="467"/>
      <c r="U10" s="467"/>
      <c r="V10" s="467"/>
      <c r="W10" s="467"/>
      <c r="X10" s="467"/>
      <c r="Y10" s="467"/>
      <c r="Z10" s="467"/>
      <c r="AA10" s="467"/>
      <c r="AB10" s="467"/>
      <c r="AC10" s="467"/>
      <c r="AD10" s="467"/>
      <c r="AE10" s="467"/>
      <c r="AF10" s="467"/>
      <c r="AG10" s="467"/>
      <c r="AH10" s="467"/>
      <c r="AI10" s="467"/>
      <c r="AJ10" s="467"/>
      <c r="AK10" s="467"/>
    </row>
    <row r="11" spans="1:37" s="447" customFormat="1">
      <c r="A11" s="204"/>
      <c r="B11" s="465"/>
      <c r="C11" s="205"/>
      <c r="D11" s="436" t="s">
        <v>303</v>
      </c>
      <c r="E11" s="467" t="s">
        <v>289</v>
      </c>
      <c r="F11" s="467"/>
      <c r="G11" s="467"/>
      <c r="H11" s="467"/>
      <c r="I11" s="467"/>
      <c r="J11" s="467"/>
      <c r="K11" s="467"/>
      <c r="L11" s="467"/>
      <c r="M11" s="467"/>
      <c r="N11" s="467"/>
      <c r="O11" s="467"/>
      <c r="P11" s="467"/>
      <c r="Q11" s="467"/>
      <c r="R11" s="467"/>
      <c r="S11" s="467"/>
      <c r="T11" s="467"/>
      <c r="U11" s="467"/>
      <c r="V11" s="467"/>
      <c r="W11" s="467"/>
      <c r="X11" s="467"/>
      <c r="Y11" s="467"/>
      <c r="Z11" s="467"/>
      <c r="AA11" s="467"/>
      <c r="AB11" s="467"/>
      <c r="AC11" s="467"/>
      <c r="AD11" s="467"/>
      <c r="AE11" s="467"/>
      <c r="AF11" s="467"/>
      <c r="AG11" s="467"/>
      <c r="AH11" s="467"/>
      <c r="AI11" s="467"/>
      <c r="AJ11" s="467"/>
      <c r="AK11" s="467"/>
    </row>
    <row r="12" spans="1:37" s="447" customFormat="1">
      <c r="A12" s="204"/>
      <c r="B12" s="465"/>
      <c r="C12" s="205"/>
      <c r="D12" s="436" t="s">
        <v>304</v>
      </c>
      <c r="E12" s="467" t="s">
        <v>291</v>
      </c>
      <c r="F12" s="467"/>
      <c r="G12" s="467"/>
      <c r="H12" s="467"/>
      <c r="I12" s="467"/>
      <c r="J12" s="467"/>
      <c r="K12" s="467"/>
      <c r="L12" s="467"/>
      <c r="M12" s="467"/>
      <c r="N12" s="467"/>
      <c r="O12" s="467"/>
      <c r="P12" s="467"/>
      <c r="Q12" s="467"/>
      <c r="R12" s="467"/>
      <c r="S12" s="467"/>
      <c r="T12" s="467"/>
      <c r="U12" s="467"/>
      <c r="V12" s="467"/>
      <c r="W12" s="467"/>
      <c r="X12" s="467"/>
      <c r="Y12" s="467"/>
      <c r="Z12" s="467"/>
      <c r="AA12" s="467"/>
      <c r="AB12" s="467"/>
      <c r="AC12" s="467"/>
      <c r="AD12" s="467"/>
      <c r="AE12" s="467"/>
      <c r="AF12" s="467"/>
      <c r="AG12" s="467"/>
      <c r="AH12" s="467"/>
      <c r="AI12" s="467"/>
      <c r="AJ12" s="467"/>
      <c r="AK12" s="467"/>
    </row>
    <row r="13" spans="1:37" s="447" customFormat="1">
      <c r="A13" s="204"/>
      <c r="B13" s="465"/>
      <c r="C13" s="205"/>
      <c r="D13" s="436" t="s">
        <v>305</v>
      </c>
      <c r="E13" s="467" t="s">
        <v>290</v>
      </c>
      <c r="F13" s="467"/>
      <c r="G13" s="467"/>
      <c r="H13" s="467"/>
      <c r="I13" s="467"/>
      <c r="J13" s="467"/>
      <c r="K13" s="467"/>
      <c r="L13" s="467"/>
      <c r="M13" s="467"/>
      <c r="N13" s="467"/>
      <c r="O13" s="467"/>
      <c r="P13" s="467"/>
      <c r="Q13" s="467"/>
      <c r="R13" s="467"/>
      <c r="S13" s="467"/>
      <c r="T13" s="467"/>
      <c r="U13" s="467"/>
      <c r="V13" s="467"/>
      <c r="W13" s="467"/>
      <c r="X13" s="467"/>
      <c r="Y13" s="467"/>
      <c r="Z13" s="467"/>
      <c r="AA13" s="467"/>
      <c r="AB13" s="467"/>
      <c r="AC13" s="467"/>
      <c r="AD13" s="467"/>
      <c r="AE13" s="467"/>
      <c r="AF13" s="467"/>
      <c r="AG13" s="467"/>
      <c r="AH13" s="467"/>
      <c r="AI13" s="467"/>
      <c r="AJ13" s="467"/>
      <c r="AK13" s="467"/>
    </row>
    <row r="14" spans="1:37" s="447" customFormat="1">
      <c r="A14" s="204"/>
      <c r="B14" s="465"/>
      <c r="C14" s="205"/>
      <c r="D14" s="436" t="s">
        <v>306</v>
      </c>
      <c r="E14" s="467" t="s">
        <v>299</v>
      </c>
      <c r="F14" s="467"/>
      <c r="G14" s="467"/>
      <c r="H14" s="467"/>
      <c r="I14" s="467"/>
      <c r="J14" s="467"/>
      <c r="K14" s="467"/>
      <c r="L14" s="467"/>
      <c r="M14" s="467"/>
      <c r="N14" s="467"/>
      <c r="O14" s="467"/>
      <c r="P14" s="467"/>
      <c r="Q14" s="467"/>
      <c r="R14" s="467"/>
      <c r="S14" s="467"/>
      <c r="T14" s="467"/>
      <c r="U14" s="467"/>
      <c r="V14" s="467"/>
      <c r="W14" s="467"/>
      <c r="X14" s="467"/>
      <c r="Y14" s="467"/>
      <c r="Z14" s="467"/>
      <c r="AA14" s="467"/>
      <c r="AB14" s="467"/>
      <c r="AC14" s="467"/>
      <c r="AD14" s="467"/>
      <c r="AE14" s="467"/>
      <c r="AF14" s="467"/>
      <c r="AG14" s="467"/>
      <c r="AH14" s="467"/>
      <c r="AI14" s="467"/>
      <c r="AJ14" s="467"/>
      <c r="AK14" s="467"/>
    </row>
    <row r="15" spans="1:37" s="447" customFormat="1">
      <c r="A15" s="204"/>
      <c r="B15" s="465"/>
      <c r="C15" s="205"/>
      <c r="D15" s="436" t="s">
        <v>307</v>
      </c>
      <c r="E15" s="467" t="s">
        <v>300</v>
      </c>
      <c r="F15" s="467"/>
      <c r="G15" s="467"/>
      <c r="H15" s="467"/>
      <c r="I15" s="467"/>
      <c r="J15" s="467"/>
      <c r="K15" s="467"/>
      <c r="L15" s="467"/>
      <c r="M15" s="467"/>
      <c r="N15" s="467"/>
      <c r="O15" s="467"/>
      <c r="P15" s="467"/>
      <c r="Q15" s="467"/>
      <c r="R15" s="467"/>
      <c r="S15" s="467"/>
      <c r="T15" s="467"/>
      <c r="U15" s="467"/>
      <c r="V15" s="467"/>
      <c r="W15" s="467"/>
      <c r="X15" s="467"/>
      <c r="Y15" s="467"/>
      <c r="Z15" s="467"/>
      <c r="AA15" s="467"/>
      <c r="AB15" s="467"/>
      <c r="AC15" s="467"/>
      <c r="AD15" s="467"/>
      <c r="AE15" s="467"/>
      <c r="AF15" s="467"/>
      <c r="AG15" s="467"/>
      <c r="AH15" s="467"/>
      <c r="AI15" s="467"/>
      <c r="AJ15" s="467"/>
      <c r="AK15" s="467"/>
    </row>
    <row r="16" spans="1:37" s="447" customFormat="1">
      <c r="A16" s="204"/>
      <c r="B16" s="465"/>
      <c r="C16" s="205"/>
      <c r="D16" s="436" t="s">
        <v>313</v>
      </c>
      <c r="E16" s="467" t="s">
        <v>564</v>
      </c>
      <c r="F16" s="467"/>
      <c r="G16" s="467"/>
      <c r="H16" s="467"/>
      <c r="I16" s="467"/>
      <c r="J16" s="467"/>
      <c r="K16" s="467"/>
      <c r="L16" s="467"/>
      <c r="M16" s="467"/>
      <c r="N16" s="467"/>
      <c r="O16" s="467"/>
      <c r="P16" s="467"/>
      <c r="Q16" s="467"/>
      <c r="R16" s="467"/>
      <c r="S16" s="467"/>
      <c r="T16" s="467"/>
      <c r="U16" s="467"/>
      <c r="V16" s="467"/>
      <c r="W16" s="467"/>
      <c r="X16" s="467"/>
      <c r="Y16" s="467"/>
      <c r="Z16" s="467"/>
      <c r="AA16" s="467"/>
      <c r="AB16" s="467"/>
      <c r="AC16" s="467"/>
      <c r="AD16" s="467"/>
      <c r="AE16" s="467"/>
      <c r="AF16" s="467"/>
      <c r="AG16" s="467"/>
      <c r="AH16" s="467"/>
      <c r="AI16" s="467"/>
      <c r="AJ16" s="467"/>
      <c r="AK16" s="467"/>
    </row>
    <row r="17" spans="1:37" s="447" customFormat="1">
      <c r="A17" s="204"/>
      <c r="B17" s="465"/>
      <c r="C17" s="205"/>
      <c r="D17" s="436"/>
      <c r="E17" s="590" t="str">
        <f>InpC!F35</f>
        <v>WaSC</v>
      </c>
      <c r="F17" s="467"/>
      <c r="G17" s="467"/>
      <c r="H17" s="467"/>
      <c r="I17" s="467"/>
      <c r="J17" s="467"/>
      <c r="K17" s="467"/>
      <c r="L17" s="467"/>
      <c r="M17" s="467"/>
      <c r="N17" s="467"/>
      <c r="O17" s="467"/>
      <c r="P17" s="467"/>
      <c r="Q17" s="467"/>
      <c r="R17" s="467"/>
      <c r="S17" s="467"/>
      <c r="T17" s="467"/>
      <c r="U17" s="467"/>
      <c r="V17" s="467"/>
      <c r="W17" s="467"/>
      <c r="X17" s="467"/>
      <c r="Y17" s="467"/>
      <c r="Z17" s="467"/>
      <c r="AA17" s="467"/>
      <c r="AB17" s="467"/>
      <c r="AC17" s="467"/>
      <c r="AD17" s="467"/>
      <c r="AE17" s="467"/>
      <c r="AF17" s="467"/>
      <c r="AG17" s="467"/>
      <c r="AH17" s="467"/>
      <c r="AI17" s="467"/>
      <c r="AJ17" s="467"/>
      <c r="AK17" s="467"/>
    </row>
    <row r="18" spans="1:37" s="447" customFormat="1">
      <c r="A18" s="204"/>
      <c r="B18" s="465"/>
      <c r="C18" s="205"/>
      <c r="D18" s="436" t="s">
        <v>322</v>
      </c>
      <c r="E18" s="471" t="s">
        <v>323</v>
      </c>
      <c r="F18" s="467"/>
      <c r="G18" s="467"/>
      <c r="H18" s="467"/>
      <c r="I18" s="467"/>
      <c r="J18" s="467"/>
      <c r="K18" s="467"/>
      <c r="L18" s="467"/>
      <c r="M18" s="467"/>
      <c r="N18" s="467"/>
      <c r="O18" s="467"/>
      <c r="P18" s="467"/>
      <c r="Q18" s="467"/>
      <c r="R18" s="467"/>
      <c r="S18" s="467"/>
      <c r="T18" s="467"/>
      <c r="U18" s="467"/>
      <c r="V18" s="467"/>
      <c r="W18" s="467"/>
      <c r="X18" s="467"/>
      <c r="Y18" s="467"/>
      <c r="Z18" s="467"/>
      <c r="AA18" s="467"/>
      <c r="AB18" s="467"/>
      <c r="AC18" s="467"/>
      <c r="AD18" s="467"/>
      <c r="AE18" s="467"/>
      <c r="AF18" s="467"/>
      <c r="AG18" s="467"/>
      <c r="AH18" s="467"/>
      <c r="AI18" s="467"/>
      <c r="AJ18" s="467"/>
      <c r="AK18" s="467"/>
    </row>
    <row r="19" spans="1:37" s="447" customFormat="1">
      <c r="A19" s="204"/>
      <c r="B19" s="465"/>
      <c r="C19" s="205"/>
      <c r="D19" s="436"/>
      <c r="E19" s="467"/>
    </row>
    <row r="20" spans="1:37" s="447" customFormat="1">
      <c r="A20" s="204"/>
      <c r="B20" s="465"/>
      <c r="C20" s="205"/>
      <c r="D20" s="468" t="s">
        <v>317</v>
      </c>
      <c r="E20" s="467"/>
    </row>
    <row r="21" spans="1:37" s="447" customFormat="1">
      <c r="A21" s="204"/>
      <c r="B21" s="465"/>
      <c r="C21" s="205"/>
      <c r="D21" s="436"/>
      <c r="E21" s="467" t="s">
        <v>318</v>
      </c>
    </row>
    <row r="22" spans="1:37" s="447" customFormat="1">
      <c r="A22" s="204"/>
      <c r="B22" s="465"/>
      <c r="C22" s="205"/>
      <c r="D22" s="436"/>
      <c r="E22" s="469" t="s">
        <v>319</v>
      </c>
    </row>
    <row r="23" spans="1:37" s="447" customFormat="1">
      <c r="A23" s="204"/>
      <c r="B23" s="465"/>
      <c r="C23" s="205"/>
      <c r="D23" s="436"/>
      <c r="E23" s="469" t="s">
        <v>320</v>
      </c>
    </row>
    <row r="24" spans="1:37" s="447" customFormat="1">
      <c r="A24" s="204"/>
      <c r="B24" s="465"/>
      <c r="C24" s="205"/>
      <c r="D24" s="436"/>
      <c r="E24" s="467" t="s">
        <v>321</v>
      </c>
    </row>
    <row r="25" spans="1:37" s="447" customFormat="1" ht="13.95" customHeight="1" thickBot="1">
      <c r="A25" s="204"/>
      <c r="B25" s="443"/>
      <c r="C25" s="444"/>
      <c r="D25" s="470"/>
      <c r="E25" s="446"/>
    </row>
    <row r="26" spans="1:37" s="447" customFormat="1">
      <c r="A26" s="204"/>
      <c r="B26" s="205"/>
      <c r="C26" s="205"/>
    </row>
    <row r="27" spans="1:37" s="361" customFormat="1" ht="13.8" thickBot="1">
      <c r="A27" s="204"/>
      <c r="B27" s="458"/>
      <c r="C27" s="458"/>
      <c r="D27" s="459"/>
      <c r="E27" s="460"/>
    </row>
    <row r="28" spans="1:37" s="453" customFormat="1" ht="15" customHeight="1" thickBot="1">
      <c r="A28" s="448"/>
      <c r="B28" s="449" t="s">
        <v>326</v>
      </c>
      <c r="C28" s="450"/>
      <c r="D28" s="451"/>
      <c r="E28" s="452"/>
    </row>
    <row r="29" spans="1:37" ht="4.95" customHeight="1">
      <c r="A29" s="204"/>
      <c r="B29" s="454"/>
      <c r="C29" s="455"/>
      <c r="D29" s="456"/>
      <c r="E29" s="457"/>
    </row>
    <row r="30" spans="1:37" s="431" customFormat="1">
      <c r="A30" s="426"/>
      <c r="B30" s="427"/>
      <c r="C30" s="428"/>
      <c r="D30" s="436" t="s">
        <v>303</v>
      </c>
      <c r="E30" s="433" t="s">
        <v>330</v>
      </c>
    </row>
    <row r="31" spans="1:37" s="437" customFormat="1" ht="4.95" customHeight="1">
      <c r="A31" s="426"/>
      <c r="B31" s="434"/>
      <c r="C31" s="435"/>
      <c r="D31" s="131"/>
      <c r="E31" s="433"/>
    </row>
    <row r="32" spans="1:37" s="431" customFormat="1" ht="28.5" customHeight="1">
      <c r="A32" s="426"/>
      <c r="B32" s="427"/>
      <c r="C32" s="428"/>
      <c r="D32" s="429"/>
      <c r="E32" s="477"/>
    </row>
    <row r="33" spans="1:5" s="437" customFormat="1" ht="4.95" customHeight="1">
      <c r="A33" s="426"/>
      <c r="B33" s="434"/>
      <c r="C33" s="435"/>
      <c r="D33" s="131"/>
      <c r="E33" s="433"/>
    </row>
    <row r="34" spans="1:5" s="361" customFormat="1">
      <c r="A34" s="204"/>
      <c r="B34" s="472"/>
      <c r="C34" s="458"/>
      <c r="D34" s="436" t="s">
        <v>304</v>
      </c>
      <c r="E34" s="467" t="s">
        <v>327</v>
      </c>
    </row>
    <row r="35" spans="1:5" s="361" customFormat="1">
      <c r="A35" s="204"/>
      <c r="B35" s="472"/>
      <c r="C35" s="458"/>
      <c r="D35" s="459"/>
      <c r="E35" s="471"/>
    </row>
    <row r="36" spans="1:5" s="361" customFormat="1">
      <c r="A36" s="204"/>
      <c r="B36" s="472"/>
      <c r="C36" s="458"/>
      <c r="D36" s="436" t="s">
        <v>305</v>
      </c>
      <c r="E36" s="467" t="s">
        <v>328</v>
      </c>
    </row>
    <row r="37" spans="1:5" s="361" customFormat="1">
      <c r="A37" s="204"/>
      <c r="B37" s="472"/>
      <c r="C37" s="458"/>
      <c r="D37" s="459"/>
      <c r="E37" s="471"/>
    </row>
    <row r="38" spans="1:5" s="361" customFormat="1">
      <c r="A38" s="204"/>
      <c r="B38" s="472"/>
      <c r="C38" s="458"/>
      <c r="D38" s="436" t="s">
        <v>306</v>
      </c>
      <c r="E38" s="467" t="s">
        <v>329</v>
      </c>
    </row>
    <row r="39" spans="1:5" s="361" customFormat="1" ht="13.8" thickBot="1">
      <c r="A39" s="204"/>
      <c r="B39" s="473"/>
      <c r="C39" s="474"/>
      <c r="D39" s="475"/>
      <c r="E39" s="478"/>
    </row>
    <row r="40" spans="1:5" s="447" customFormat="1">
      <c r="A40" s="204"/>
      <c r="B40" s="205"/>
      <c r="C40" s="205"/>
      <c r="D40" s="436"/>
      <c r="E40" s="476"/>
    </row>
    <row r="41" spans="1:5" s="361" customFormat="1" ht="13.8" thickBot="1">
      <c r="A41" s="204"/>
      <c r="B41" s="458"/>
      <c r="C41" s="458"/>
      <c r="D41" s="459"/>
      <c r="E41" s="460"/>
    </row>
    <row r="42" spans="1:5" s="453" customFormat="1" ht="15" customHeight="1" thickBot="1">
      <c r="A42" s="448"/>
      <c r="B42" s="449" t="s">
        <v>314</v>
      </c>
      <c r="C42" s="450"/>
      <c r="D42" s="451"/>
      <c r="E42" s="452"/>
    </row>
    <row r="43" spans="1:5" ht="4.95" customHeight="1">
      <c r="A43" s="204"/>
      <c r="B43" s="454"/>
      <c r="C43" s="455"/>
      <c r="D43" s="456"/>
      <c r="E43" s="457"/>
    </row>
    <row r="44" spans="1:5" s="447" customFormat="1">
      <c r="A44" s="204"/>
      <c r="B44" s="465"/>
      <c r="C44" s="205"/>
      <c r="D44" s="468" t="s">
        <v>334</v>
      </c>
      <c r="E44" s="467"/>
    </row>
    <row r="45" spans="1:5" ht="12.75" customHeight="1">
      <c r="A45" s="204"/>
      <c r="B45" s="424"/>
      <c r="C45" s="358"/>
      <c r="D45" s="359"/>
      <c r="E45" s="425" t="s">
        <v>333</v>
      </c>
    </row>
    <row r="46" spans="1:5" s="431" customFormat="1" ht="4.95" customHeight="1">
      <c r="A46" s="426"/>
      <c r="B46" s="427"/>
      <c r="C46" s="428"/>
      <c r="D46" s="429"/>
      <c r="E46" s="432"/>
    </row>
    <row r="47" spans="1:5" s="437" customFormat="1">
      <c r="A47" s="426"/>
      <c r="B47" s="434"/>
      <c r="C47" s="435"/>
      <c r="D47" s="436" t="s">
        <v>303</v>
      </c>
      <c r="E47" s="433" t="s">
        <v>342</v>
      </c>
    </row>
    <row r="48" spans="1:5" s="431" customFormat="1">
      <c r="A48" s="426"/>
      <c r="B48" s="427"/>
      <c r="C48" s="428"/>
      <c r="D48" s="429"/>
      <c r="E48" s="479" t="s">
        <v>343</v>
      </c>
    </row>
    <row r="49" spans="1:5" s="431" customFormat="1" ht="12.75" customHeight="1">
      <c r="A49" s="426"/>
      <c r="B49" s="427"/>
      <c r="C49" s="428"/>
      <c r="D49" s="429"/>
      <c r="E49" s="432"/>
    </row>
    <row r="50" spans="1:5" s="431" customFormat="1" ht="12.75" customHeight="1">
      <c r="A50" s="426"/>
      <c r="B50" s="427"/>
      <c r="C50" s="428"/>
      <c r="D50" s="436" t="s">
        <v>304</v>
      </c>
      <c r="E50" s="433" t="s">
        <v>331</v>
      </c>
    </row>
    <row r="51" spans="1:5" s="431" customFormat="1" ht="12.75" customHeight="1">
      <c r="A51" s="426"/>
      <c r="B51" s="427"/>
      <c r="C51" s="428"/>
      <c r="D51" s="429"/>
      <c r="E51" s="433"/>
    </row>
    <row r="52" spans="1:5" s="431" customFormat="1" ht="26.4">
      <c r="A52" s="426"/>
      <c r="B52" s="427"/>
      <c r="C52" s="428"/>
      <c r="D52" s="436" t="s">
        <v>305</v>
      </c>
      <c r="E52" s="438" t="s">
        <v>338</v>
      </c>
    </row>
    <row r="53" spans="1:5" s="431" customFormat="1" ht="12.75" customHeight="1">
      <c r="A53" s="426"/>
      <c r="B53" s="427"/>
      <c r="C53" s="428"/>
      <c r="D53" s="429"/>
      <c r="E53" s="433"/>
    </row>
    <row r="54" spans="1:5" s="431" customFormat="1" ht="12.75" customHeight="1">
      <c r="A54" s="426"/>
      <c r="B54" s="427"/>
      <c r="C54" s="428"/>
      <c r="D54" s="436" t="s">
        <v>306</v>
      </c>
      <c r="E54" s="433" t="s">
        <v>332</v>
      </c>
    </row>
    <row r="55" spans="1:5" s="431" customFormat="1">
      <c r="A55" s="426"/>
      <c r="B55" s="427"/>
      <c r="C55" s="428"/>
      <c r="D55" s="131"/>
      <c r="E55" s="433"/>
    </row>
    <row r="56" spans="1:5" s="431" customFormat="1">
      <c r="A56" s="426"/>
      <c r="B56" s="427"/>
      <c r="C56" s="428"/>
      <c r="D56" s="436" t="s">
        <v>307</v>
      </c>
      <c r="E56" s="433" t="s">
        <v>308</v>
      </c>
    </row>
    <row r="57" spans="1:5" s="431" customFormat="1">
      <c r="A57" s="426"/>
      <c r="B57" s="427"/>
      <c r="C57" s="428"/>
      <c r="D57" s="131"/>
      <c r="E57" s="433"/>
    </row>
    <row r="58" spans="1:5" s="447" customFormat="1">
      <c r="A58" s="204"/>
      <c r="B58" s="465"/>
      <c r="C58" s="205"/>
      <c r="D58" s="468" t="s">
        <v>335</v>
      </c>
      <c r="E58" s="467"/>
    </row>
    <row r="59" spans="1:5" s="431" customFormat="1" ht="4.95" customHeight="1">
      <c r="A59" s="426"/>
      <c r="B59" s="427"/>
      <c r="C59" s="428"/>
      <c r="D59" s="429"/>
      <c r="E59" s="432"/>
    </row>
    <row r="60" spans="1:5" ht="12.75" customHeight="1">
      <c r="A60" s="204"/>
      <c r="B60" s="424"/>
      <c r="C60" s="358"/>
      <c r="D60" s="359"/>
      <c r="E60" s="425" t="s">
        <v>336</v>
      </c>
    </row>
    <row r="61" spans="1:5" s="431" customFormat="1" ht="4.95" customHeight="1">
      <c r="A61" s="426"/>
      <c r="B61" s="427"/>
      <c r="C61" s="428"/>
      <c r="D61" s="429"/>
      <c r="E61" s="432"/>
    </row>
    <row r="62" spans="1:5" s="437" customFormat="1">
      <c r="A62" s="440"/>
      <c r="B62" s="434"/>
      <c r="C62" s="435"/>
      <c r="D62" s="436" t="s">
        <v>303</v>
      </c>
      <c r="E62" s="433" t="s">
        <v>309</v>
      </c>
    </row>
    <row r="63" spans="1:5" s="437" customFormat="1">
      <c r="A63" s="440"/>
      <c r="B63" s="434"/>
      <c r="C63" s="435"/>
      <c r="D63" s="131"/>
      <c r="E63" s="439"/>
    </row>
    <row r="64" spans="1:5" s="437" customFormat="1">
      <c r="A64" s="440"/>
      <c r="B64" s="434"/>
      <c r="C64" s="435"/>
      <c r="D64" s="436" t="s">
        <v>304</v>
      </c>
      <c r="E64" s="433" t="s">
        <v>310</v>
      </c>
    </row>
    <row r="65" spans="1:6" s="437" customFormat="1">
      <c r="A65" s="440"/>
      <c r="B65" s="434"/>
      <c r="C65" s="435"/>
      <c r="D65" s="441"/>
      <c r="E65" s="433"/>
    </row>
    <row r="66" spans="1:6" s="437" customFormat="1">
      <c r="A66" s="440"/>
      <c r="B66" s="434"/>
      <c r="C66" s="435"/>
      <c r="D66" s="436" t="s">
        <v>305</v>
      </c>
      <c r="E66" s="430" t="s">
        <v>337</v>
      </c>
    </row>
    <row r="67" spans="1:6" s="437" customFormat="1">
      <c r="A67" s="440"/>
      <c r="B67" s="434"/>
      <c r="C67" s="435"/>
      <c r="D67" s="131"/>
      <c r="E67" s="433"/>
    </row>
    <row r="68" spans="1:6" s="437" customFormat="1">
      <c r="A68" s="440"/>
      <c r="B68" s="434"/>
      <c r="C68" s="435"/>
      <c r="D68" s="436" t="s">
        <v>306</v>
      </c>
      <c r="E68" s="433" t="s">
        <v>311</v>
      </c>
    </row>
    <row r="69" spans="1:6" s="437" customFormat="1">
      <c r="A69" s="440"/>
      <c r="B69" s="434"/>
      <c r="C69" s="435"/>
      <c r="D69" s="131"/>
      <c r="E69" s="433"/>
    </row>
    <row r="70" spans="1:6" s="437" customFormat="1">
      <c r="A70" s="440"/>
      <c r="B70" s="434"/>
      <c r="C70" s="435"/>
      <c r="D70" s="436" t="s">
        <v>307</v>
      </c>
      <c r="E70" s="442" t="s">
        <v>312</v>
      </c>
    </row>
    <row r="71" spans="1:6" s="437" customFormat="1">
      <c r="A71" s="440"/>
      <c r="B71" s="434"/>
      <c r="C71" s="435"/>
      <c r="D71" s="131"/>
      <c r="E71" s="433"/>
    </row>
    <row r="72" spans="1:6" s="431" customFormat="1">
      <c r="A72" s="426"/>
      <c r="B72" s="427"/>
      <c r="C72" s="428"/>
      <c r="D72" s="436" t="s">
        <v>313</v>
      </c>
      <c r="E72" s="433" t="s">
        <v>308</v>
      </c>
    </row>
    <row r="73" spans="1:6" s="431" customFormat="1">
      <c r="A73" s="426"/>
      <c r="B73" s="427"/>
      <c r="C73" s="428"/>
      <c r="D73" s="429"/>
      <c r="E73" s="439"/>
    </row>
    <row r="74" spans="1:6" s="447" customFormat="1" ht="13.8" thickBot="1">
      <c r="A74" s="358"/>
      <c r="B74" s="443"/>
      <c r="C74" s="444"/>
      <c r="D74" s="445"/>
      <c r="E74" s="446"/>
    </row>
    <row r="75" spans="1:6" s="361" customFormat="1">
      <c r="A75" s="204"/>
      <c r="B75" s="458"/>
      <c r="C75" s="458"/>
      <c r="D75" s="459"/>
    </row>
    <row r="76" spans="1:6" s="215" customFormat="1">
      <c r="A76" s="215" t="s">
        <v>6</v>
      </c>
      <c r="C76" s="216"/>
      <c r="D76" s="217"/>
      <c r="E76" s="216"/>
      <c r="F76" s="218"/>
    </row>
    <row r="77" spans="1:6"/>
    <row r="78" spans="1:6"/>
    <row r="79" spans="1:6"/>
    <row r="80" spans="1:6"/>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sheetData>
  <hyperlinks>
    <hyperlink ref="E48" location="Track!A1" display="Track!A1" xr:uid="{00000000-0004-0000-0100-000000000000}"/>
    <hyperlink ref="E17" location="InpC!F34" display="InpC!F34" xr:uid="{00000000-0004-0000-0100-000001000000}"/>
  </hyperlinks>
  <pageMargins left="0.70866141732283472" right="0.70866141732283472" top="0.74803149606299213" bottom="0.74803149606299213" header="0.31496062992125984" footer="0.31496062992125984"/>
  <pageSetup paperSize="9" scale="54" fitToHeight="0" orientation="portrait" r:id="rId1"/>
  <headerFooter>
    <oddHeader>&amp;LPage &amp;P of &amp;N&amp;CSheet:&amp;A</oddHeader>
    <oddFooter>&amp;L&amp;F ( Printed on &amp;D at &amp;T )&amp;ROFWAT</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7105" r:id="rId4" name="Button 1">
              <controlPr defaultSize="0" print="0" autoFill="0" autoPict="0" macro="[0]!PRINT_SHEET">
                <anchor moveWithCells="1" sizeWithCells="1">
                  <from>
                    <xdr:col>4</xdr:col>
                    <xdr:colOff>2964180</xdr:colOff>
                    <xdr:row>31</xdr:row>
                    <xdr:rowOff>22860</xdr:rowOff>
                  </from>
                  <to>
                    <xdr:col>4</xdr:col>
                    <xdr:colOff>5334000</xdr:colOff>
                    <xdr:row>32</xdr:row>
                    <xdr:rowOff>22860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2">
    <tabColor rgb="FFCCFFFF"/>
    <pageSetUpPr fitToPage="1"/>
  </sheetPr>
  <dimension ref="A1:K33"/>
  <sheetViews>
    <sheetView showGridLines="0" zoomScale="80" zoomScaleNormal="80" workbookViewId="0">
      <pane ySplit="5" topLeftCell="A6" activePane="bottomLeft" state="frozen"/>
      <selection pane="bottomLeft" activeCell="F25" sqref="F25"/>
    </sheetView>
  </sheetViews>
  <sheetFormatPr defaultColWidth="0" defaultRowHeight="13.2"/>
  <cols>
    <col min="1" max="2" width="1.21875" style="11" customWidth="1"/>
    <col min="3" max="3" width="1.21875" style="12" customWidth="1"/>
    <col min="4" max="4" width="10" style="13" customWidth="1"/>
    <col min="5" max="5" width="83.5546875" style="14" customWidth="1"/>
    <col min="6" max="6" width="12.77734375" style="14" customWidth="1"/>
    <col min="7" max="7" width="11.77734375" style="14" customWidth="1"/>
    <col min="8" max="8" width="15.77734375" style="14" customWidth="1"/>
    <col min="9" max="11" width="12.44140625" style="45" customWidth="1"/>
    <col min="12" max="16384" width="9.21875" style="45" hidden="1"/>
  </cols>
  <sheetData>
    <row r="1" spans="1:11" ht="24.6">
      <c r="A1" s="1" t="str">
        <f ca="1" xml:space="preserve"> RIGHT(CELL("filename", $A$1), LEN(CELL("filename", $A$1)) - SEARCH("]", CELL("filename", $A$1)))</f>
        <v>Check</v>
      </c>
      <c r="B1" s="1"/>
      <c r="C1" s="2"/>
      <c r="D1" s="3"/>
      <c r="E1" s="4"/>
      <c r="F1" s="45"/>
      <c r="G1" s="45"/>
      <c r="H1" s="45"/>
    </row>
    <row r="2" spans="1:11">
      <c r="A2" s="7"/>
      <c r="B2" s="7"/>
      <c r="C2" s="8"/>
      <c r="D2" s="9"/>
      <c r="E2" s="10"/>
      <c r="F2" s="352">
        <f>F11</f>
        <v>0</v>
      </c>
      <c r="G2" s="6" t="s">
        <v>82</v>
      </c>
      <c r="H2" s="6"/>
    </row>
    <row r="3" spans="1:11">
      <c r="A3" s="7"/>
      <c r="B3" s="7"/>
      <c r="C3" s="8"/>
      <c r="D3" s="9"/>
      <c r="E3" s="10"/>
      <c r="F3" s="336">
        <f>F30</f>
        <v>93</v>
      </c>
      <c r="G3" s="6" t="s">
        <v>83</v>
      </c>
      <c r="H3" s="6"/>
    </row>
    <row r="4" spans="1:11">
      <c r="A4" s="7"/>
      <c r="B4" s="7"/>
      <c r="C4" s="8"/>
      <c r="D4" s="9"/>
      <c r="E4" s="10"/>
      <c r="F4" s="6"/>
      <c r="G4" s="45"/>
      <c r="H4" s="6"/>
    </row>
    <row r="5" spans="1:11">
      <c r="A5" s="7"/>
      <c r="B5" s="7"/>
      <c r="C5" s="8"/>
      <c r="D5" s="9"/>
      <c r="E5" s="10"/>
      <c r="F5" s="80" t="s">
        <v>0</v>
      </c>
      <c r="G5" s="80" t="s">
        <v>1</v>
      </c>
      <c r="H5" s="80"/>
      <c r="I5" s="81"/>
    </row>
    <row r="7" spans="1:11" s="65" customFormat="1" ht="15" customHeight="1">
      <c r="A7" s="15" t="s">
        <v>84</v>
      </c>
      <c r="B7" s="15"/>
      <c r="C7" s="16"/>
      <c r="D7" s="17"/>
      <c r="E7" s="15"/>
      <c r="F7" s="15"/>
      <c r="G7" s="15"/>
      <c r="H7" s="15"/>
      <c r="I7" s="15"/>
      <c r="J7" s="15"/>
      <c r="K7" s="15"/>
    </row>
    <row r="8" spans="1:11" ht="12.75" customHeight="1">
      <c r="J8" s="82"/>
      <c r="K8" s="82"/>
    </row>
    <row r="9" spans="1:11" s="271" customFormat="1" ht="15.75" customHeight="1">
      <c r="A9" s="204" t="s">
        <v>85</v>
      </c>
      <c r="B9" s="204"/>
      <c r="C9" s="205"/>
      <c r="D9" s="206"/>
      <c r="E9" s="109"/>
      <c r="F9" s="109"/>
      <c r="G9" s="109"/>
      <c r="H9" s="109"/>
      <c r="I9" s="109"/>
      <c r="J9"/>
      <c r="K9"/>
    </row>
    <row r="10" spans="1:11" s="271" customFormat="1" ht="14.4">
      <c r="A10" s="204"/>
      <c r="B10" s="204"/>
      <c r="C10" s="205"/>
      <c r="D10" s="206"/>
      <c r="E10" s="109"/>
      <c r="F10" s="109"/>
      <c r="G10" s="109"/>
      <c r="H10" s="109"/>
      <c r="I10" s="109"/>
      <c r="J10"/>
      <c r="K10"/>
    </row>
    <row r="11" spans="1:11" s="271" customFormat="1" ht="14.4">
      <c r="A11" s="204"/>
      <c r="B11" s="204"/>
      <c r="C11" s="205"/>
      <c r="D11" s="206"/>
      <c r="E11" s="109" t="s">
        <v>86</v>
      </c>
      <c r="F11" s="352">
        <f xml:space="preserve"> SUM(F15:F26)</f>
        <v>0</v>
      </c>
      <c r="G11" s="109"/>
      <c r="H11" s="109"/>
      <c r="I11" s="109"/>
      <c r="J11"/>
      <c r="K11"/>
    </row>
    <row r="12" spans="1:11" s="271" customFormat="1" ht="14.4">
      <c r="A12" s="204"/>
      <c r="B12" s="204"/>
      <c r="C12" s="205"/>
      <c r="D12" s="206"/>
      <c r="E12" s="109"/>
      <c r="F12" s="109"/>
      <c r="G12" s="109"/>
      <c r="H12" s="109"/>
      <c r="I12" s="109"/>
      <c r="J12"/>
      <c r="K12"/>
    </row>
    <row r="13" spans="1:11" s="271" customFormat="1" ht="14.4">
      <c r="A13" s="207"/>
      <c r="B13" s="207"/>
      <c r="C13" s="208"/>
      <c r="D13" s="209"/>
      <c r="E13" s="210" t="s">
        <v>87</v>
      </c>
      <c r="F13" s="210"/>
      <c r="G13" s="211"/>
      <c r="H13" s="211"/>
      <c r="I13" s="211"/>
      <c r="J13"/>
      <c r="K13"/>
    </row>
    <row r="14" spans="1:11" s="271" customFormat="1" ht="14.4">
      <c r="A14" s="204"/>
      <c r="B14" s="204"/>
      <c r="C14" s="205"/>
      <c r="D14" s="206"/>
      <c r="E14" s="163"/>
      <c r="F14" s="163"/>
      <c r="G14" s="562"/>
      <c r="H14" s="562"/>
      <c r="I14" s="562"/>
    </row>
    <row r="15" spans="1:11" s="271" customFormat="1" ht="14.4">
      <c r="A15" s="410"/>
      <c r="B15" s="204" t="s">
        <v>412</v>
      </c>
      <c r="C15" s="410"/>
      <c r="D15" s="410"/>
      <c r="E15" s="400" t="str">
        <f>InpC!$E$38</f>
        <v>Company Type switch check</v>
      </c>
      <c r="F15" s="352">
        <f>InpC!F38</f>
        <v>0</v>
      </c>
      <c r="G15" s="410"/>
      <c r="H15" s="410"/>
      <c r="I15" s="410"/>
      <c r="J15" s="410"/>
      <c r="K15" s="410"/>
    </row>
    <row r="16" spans="1:11" s="271" customFormat="1" ht="14.4">
      <c r="A16" s="204"/>
      <c r="B16" s="204"/>
      <c r="C16" s="205"/>
      <c r="D16" s="206"/>
      <c r="E16" s="163"/>
      <c r="F16" s="163"/>
      <c r="G16" s="212"/>
      <c r="H16" s="212"/>
      <c r="I16" s="212"/>
      <c r="J16"/>
      <c r="K16"/>
    </row>
    <row r="17" spans="1:11" s="271" customFormat="1" ht="14.4">
      <c r="A17" s="204"/>
      <c r="B17" s="204" t="s">
        <v>25</v>
      </c>
      <c r="C17" s="205"/>
      <c r="D17" s="206"/>
      <c r="E17" s="143" t="str">
        <f>RCV!E383</f>
        <v>Change in Water RCV depreciation check</v>
      </c>
      <c r="F17" s="352">
        <f>RCV!H383</f>
        <v>0</v>
      </c>
      <c r="G17" s="143"/>
      <c r="H17" s="109"/>
      <c r="I17" s="109"/>
      <c r="J17"/>
      <c r="K17"/>
    </row>
    <row r="18" spans="1:11" s="271" customFormat="1" ht="14.4">
      <c r="A18" s="204"/>
      <c r="B18" s="204"/>
      <c r="C18" s="205"/>
      <c r="D18" s="206"/>
      <c r="E18" s="143" t="str">
        <f>RCV!E390</f>
        <v>Change in Wastewater RCV depreciation check</v>
      </c>
      <c r="F18" s="352">
        <f>RCV!H390</f>
        <v>0</v>
      </c>
      <c r="G18" s="143"/>
      <c r="H18" s="109"/>
      <c r="I18" s="109"/>
      <c r="J18"/>
      <c r="K18"/>
    </row>
    <row r="19" spans="1:11" s="271" customFormat="1" ht="14.4">
      <c r="A19" s="204"/>
      <c r="B19" s="204"/>
      <c r="C19" s="205"/>
      <c r="D19" s="206"/>
      <c r="E19" s="143" t="str">
        <f>RCV!E549</f>
        <v>Change in Water RCV depreciation check</v>
      </c>
      <c r="F19" s="352">
        <f>RCV!H549</f>
        <v>0</v>
      </c>
      <c r="G19" s="143"/>
      <c r="H19" s="109"/>
      <c r="I19" s="109"/>
      <c r="J19"/>
      <c r="K19"/>
    </row>
    <row r="20" spans="1:11" s="271" customFormat="1" ht="14.4">
      <c r="A20" s="204"/>
      <c r="B20" s="204"/>
      <c r="C20" s="205"/>
      <c r="D20" s="206"/>
      <c r="E20" s="143" t="str">
        <f>RCV!E556</f>
        <v>Change in Wastewater return on RCV check</v>
      </c>
      <c r="F20" s="352">
        <f>RCV!H556</f>
        <v>0</v>
      </c>
      <c r="G20" s="143"/>
      <c r="H20" s="109"/>
      <c r="I20" s="109"/>
      <c r="J20"/>
      <c r="K20"/>
    </row>
    <row r="21" spans="1:11" s="271" customFormat="1" ht="14.4">
      <c r="A21" s="204"/>
      <c r="B21" s="204"/>
      <c r="C21" s="205"/>
      <c r="D21" s="206"/>
      <c r="E21" s="143"/>
      <c r="F21" s="212"/>
      <c r="G21" s="212"/>
      <c r="H21" s="109"/>
      <c r="I21" s="109"/>
      <c r="J21"/>
      <c r="K21"/>
    </row>
    <row r="22" spans="1:11" s="271" customFormat="1" ht="14.4">
      <c r="A22" s="204"/>
      <c r="B22" s="204" t="s">
        <v>23</v>
      </c>
      <c r="C22" s="205"/>
      <c r="D22" s="206"/>
      <c r="E22" s="143" t="str">
        <f>Totex!E151</f>
        <v>Change in Water PAYG Totex check</v>
      </c>
      <c r="F22" s="352">
        <f>Totex!H151</f>
        <v>0</v>
      </c>
      <c r="G22" s="143"/>
      <c r="H22" s="109"/>
      <c r="I22" s="109"/>
      <c r="J22"/>
      <c r="K22"/>
    </row>
    <row r="23" spans="1:11" s="271" customFormat="1" ht="14.4">
      <c r="A23" s="204"/>
      <c r="B23" s="204"/>
      <c r="C23" s="205"/>
      <c r="D23" s="206"/>
      <c r="E23" s="143" t="str">
        <f>Totex!E158</f>
        <v>Change in Wastewater PAYG Totex check</v>
      </c>
      <c r="F23" s="352">
        <f>Totex!H158</f>
        <v>0</v>
      </c>
      <c r="G23" s="143"/>
      <c r="H23" s="109"/>
      <c r="I23" s="109"/>
      <c r="J23"/>
      <c r="K23"/>
    </row>
    <row r="24" spans="1:11" s="271" customFormat="1" ht="14.4">
      <c r="A24" s="204"/>
      <c r="B24" s="204"/>
      <c r="C24" s="205"/>
      <c r="D24" s="206"/>
      <c r="E24" s="143"/>
      <c r="F24" s="143"/>
      <c r="G24" s="143"/>
      <c r="H24" s="109"/>
      <c r="I24" s="109"/>
      <c r="J24"/>
      <c r="K24"/>
    </row>
    <row r="25" spans="1:11" s="271" customFormat="1" ht="14.4">
      <c r="A25" s="204"/>
      <c r="B25" s="204" t="s">
        <v>269</v>
      </c>
      <c r="C25" s="205"/>
      <c r="D25" s="206"/>
      <c r="E25" s="143" t="str">
        <f>Summary_Calc!E121</f>
        <v>Sum of wholesale items after apportionment equals change in customer bill less retail items</v>
      </c>
      <c r="F25" s="352">
        <f>Summary_Calc!H121</f>
        <v>0</v>
      </c>
      <c r="G25" s="143"/>
      <c r="H25" s="109"/>
      <c r="I25" s="109"/>
      <c r="J25"/>
      <c r="K25"/>
    </row>
    <row r="26" spans="1:11" s="271" customFormat="1" ht="14.4">
      <c r="A26" s="204"/>
      <c r="B26" s="204"/>
      <c r="C26" s="205"/>
      <c r="D26" s="206"/>
      <c r="E26" s="143"/>
      <c r="F26" s="143"/>
      <c r="G26" s="143"/>
      <c r="H26" s="109"/>
      <c r="I26" s="109"/>
      <c r="J26"/>
      <c r="K26"/>
    </row>
    <row r="27" spans="1:11" ht="12.75" customHeight="1">
      <c r="E27" s="33"/>
      <c r="F27" s="33"/>
      <c r="G27" s="33"/>
      <c r="H27" s="33"/>
      <c r="J27" s="82"/>
      <c r="K27" s="82"/>
    </row>
    <row r="28" spans="1:11" s="271" customFormat="1" ht="14.4">
      <c r="A28" s="207"/>
      <c r="B28" s="207"/>
      <c r="C28" s="208"/>
      <c r="D28" s="209"/>
      <c r="E28" s="213" t="s">
        <v>87</v>
      </c>
      <c r="F28" s="213"/>
      <c r="G28" s="214"/>
      <c r="H28" s="214"/>
      <c r="I28" s="214"/>
      <c r="J28"/>
      <c r="K28"/>
    </row>
    <row r="29" spans="1:11" s="212" customFormat="1">
      <c r="A29" s="106"/>
      <c r="B29" s="107"/>
      <c r="C29" s="107"/>
      <c r="D29" s="108"/>
      <c r="E29" s="109"/>
      <c r="F29" s="109"/>
      <c r="G29" s="109"/>
      <c r="H29" s="109"/>
      <c r="I29" s="109"/>
      <c r="J29" s="109"/>
      <c r="K29" s="109"/>
    </row>
    <row r="30" spans="1:11" s="212" customFormat="1">
      <c r="A30" s="106"/>
      <c r="B30" s="107"/>
      <c r="C30" s="107"/>
      <c r="D30" s="108"/>
      <c r="E30" s="212" t="s">
        <v>251</v>
      </c>
      <c r="F30" s="336">
        <f>Track!J2</f>
        <v>93</v>
      </c>
      <c r="G30" s="109"/>
      <c r="H30" s="109"/>
      <c r="I30" s="109"/>
      <c r="J30" s="109"/>
      <c r="K30" s="109"/>
    </row>
    <row r="31" spans="1:11" s="212" customFormat="1">
      <c r="A31" s="106"/>
      <c r="B31" s="107"/>
      <c r="C31" s="107"/>
      <c r="D31" s="108"/>
      <c r="E31" s="109"/>
      <c r="F31" s="109"/>
      <c r="G31" s="109"/>
      <c r="H31" s="109"/>
      <c r="I31" s="109"/>
      <c r="J31" s="109"/>
      <c r="K31" s="109"/>
    </row>
    <row r="33" spans="1:11" s="598" customFormat="1">
      <c r="A33" s="215" t="s">
        <v>6</v>
      </c>
      <c r="B33" s="215"/>
      <c r="C33" s="216"/>
      <c r="D33" s="217"/>
      <c r="E33" s="216"/>
      <c r="F33" s="218"/>
      <c r="G33" s="215"/>
      <c r="H33" s="215"/>
      <c r="I33" s="215"/>
      <c r="J33" s="215"/>
      <c r="K33" s="215"/>
    </row>
  </sheetData>
  <conditionalFormatting sqref="F11">
    <cfRule type="cellIs" dxfId="15" priority="15" stopIfTrue="1" operator="notEqual">
      <formula>0</formula>
    </cfRule>
    <cfRule type="cellIs" dxfId="14" priority="16" stopIfTrue="1" operator="equal">
      <formula>""</formula>
    </cfRule>
  </conditionalFormatting>
  <conditionalFormatting sqref="F2">
    <cfRule type="cellIs" dxfId="13" priority="17" stopIfTrue="1" operator="notEqual">
      <formula>0</formula>
    </cfRule>
    <cfRule type="cellIs" dxfId="12" priority="18" stopIfTrue="1" operator="equal">
      <formula>""</formula>
    </cfRule>
  </conditionalFormatting>
  <conditionalFormatting sqref="F17:F20">
    <cfRule type="cellIs" dxfId="11" priority="11" stopIfTrue="1" operator="notEqual">
      <formula>0</formula>
    </cfRule>
    <cfRule type="cellIs" dxfId="10" priority="12" stopIfTrue="1" operator="equal">
      <formula>""</formula>
    </cfRule>
  </conditionalFormatting>
  <conditionalFormatting sqref="F22:F23">
    <cfRule type="cellIs" dxfId="9" priority="9" stopIfTrue="1" operator="notEqual">
      <formula>0</formula>
    </cfRule>
    <cfRule type="cellIs" dxfId="8" priority="10" stopIfTrue="1" operator="equal">
      <formula>""</formula>
    </cfRule>
  </conditionalFormatting>
  <conditionalFormatting sqref="F15">
    <cfRule type="cellIs" dxfId="7" priority="7" stopIfTrue="1" operator="notEqual">
      <formula>0</formula>
    </cfRule>
    <cfRule type="cellIs" dxfId="6" priority="8" stopIfTrue="1" operator="equal">
      <formula>""</formula>
    </cfRule>
  </conditionalFormatting>
  <conditionalFormatting sqref="F3">
    <cfRule type="cellIs" dxfId="5" priority="5" stopIfTrue="1" operator="notEqual">
      <formula>0</formula>
    </cfRule>
    <cfRule type="cellIs" dxfId="4" priority="6" stopIfTrue="1" operator="equal">
      <formula>""</formula>
    </cfRule>
  </conditionalFormatting>
  <conditionalFormatting sqref="F30">
    <cfRule type="cellIs" dxfId="3" priority="3" stopIfTrue="1" operator="notEqual">
      <formula>0</formula>
    </cfRule>
    <cfRule type="cellIs" dxfId="2" priority="4" stopIfTrue="1" operator="equal">
      <formula>""</formula>
    </cfRule>
  </conditionalFormatting>
  <conditionalFormatting sqref="F25">
    <cfRule type="cellIs" dxfId="1" priority="1" stopIfTrue="1" operator="notEqual">
      <formula>0</formula>
    </cfRule>
    <cfRule type="cellIs" dxfId="0" priority="2" stopIfTrue="1" operator="equal">
      <formula>""</formula>
    </cfRule>
  </conditionalFormatting>
  <pageMargins left="0.70866141732283472" right="0.70866141732283472" top="0.74803149606299213" bottom="0.74803149606299213" header="0.31496062992125984" footer="0.31496062992125984"/>
  <pageSetup paperSize="9" scale="49" fitToHeight="0" orientation="portrait" r:id="rId1"/>
  <headerFooter>
    <oddHeader>&amp;LPage &amp;P of &amp;N&amp;CSheet:&amp;A</oddHeader>
    <oddFooter>&amp;L&amp;F ( Printed on &amp;D at &amp;T )&amp;ROFWAT</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rgb="FFC0C0C0"/>
    <pageSetUpPr fitToPage="1"/>
  </sheetPr>
  <dimension ref="A1:AR113"/>
  <sheetViews>
    <sheetView showGridLines="0" defaultGridColor="0" colorId="22" zoomScale="80" zoomScaleNormal="80" workbookViewId="0">
      <pane ySplit="1" topLeftCell="A11" activePane="bottomLeft" state="frozen"/>
      <selection pane="bottomLeft" activeCell="C27" sqref="C27"/>
    </sheetView>
  </sheetViews>
  <sheetFormatPr defaultColWidth="0" defaultRowHeight="13.2"/>
  <cols>
    <col min="1" max="1" width="1.21875" style="11" customWidth="1"/>
    <col min="2" max="4" width="1.21875" style="119" customWidth="1"/>
    <col min="5" max="5" width="2.77734375" style="119" customWidth="1"/>
    <col min="6" max="6" width="4.77734375" style="119" customWidth="1"/>
    <col min="7" max="7" width="2.77734375" style="119" customWidth="1"/>
    <col min="8" max="8" width="30.77734375" style="319" customWidth="1"/>
    <col min="9" max="9" width="2.77734375" style="119" customWidth="1"/>
    <col min="10" max="10" width="4.77734375" style="119" customWidth="1"/>
    <col min="11" max="11" width="2.77734375" style="119" customWidth="1"/>
    <col min="12" max="12" width="30.77734375" style="119" customWidth="1"/>
    <col min="13" max="13" width="2.77734375" style="119" customWidth="1"/>
    <col min="14" max="14" width="4.77734375" style="119" customWidth="1"/>
    <col min="15" max="16" width="2.77734375" style="119" customWidth="1"/>
    <col min="17" max="17" width="30.77734375" style="119" customWidth="1"/>
    <col min="18" max="19" width="2.77734375" style="119" customWidth="1"/>
    <col min="20" max="20" width="4.77734375" style="119" customWidth="1"/>
    <col min="21" max="21" width="2.77734375" style="119" customWidth="1"/>
    <col min="22" max="22" width="30.77734375" style="119" customWidth="1"/>
    <col min="23" max="23" width="2.77734375" style="119" customWidth="1"/>
    <col min="24" max="24" width="4.77734375" style="119" customWidth="1"/>
    <col min="25" max="25" width="2.77734375" style="119" customWidth="1"/>
    <col min="26" max="26" width="30.77734375" style="119" customWidth="1"/>
    <col min="27" max="27" width="2.77734375" style="119" customWidth="1"/>
    <col min="28" max="28" width="4.77734375" style="119" customWidth="1"/>
    <col min="29" max="30" width="2.77734375" style="119" customWidth="1"/>
    <col min="31" max="31" width="20.44140625" style="119" customWidth="1"/>
    <col min="32" max="44" width="0" style="119" hidden="1" customWidth="1"/>
    <col min="45" max="16384" width="9.21875" style="119" hidden="1"/>
  </cols>
  <sheetData>
    <row r="1" spans="1:31" ht="24.6">
      <c r="A1" s="303" t="str">
        <f ca="1" xml:space="preserve"> RIGHT(CELL("filename", $A$1), LEN(CELL("filename", $A$1)) - SEARCH("]", CELL("filename", $A$1)))</f>
        <v>Map &amp; Key</v>
      </c>
      <c r="B1" s="303"/>
      <c r="C1" s="303"/>
      <c r="D1" s="303"/>
      <c r="E1" s="303"/>
      <c r="F1" s="303"/>
      <c r="G1" s="303"/>
      <c r="H1" s="304"/>
    </row>
    <row r="3" spans="1:31" s="577" customFormat="1" ht="15" customHeight="1">
      <c r="A3" s="15" t="s">
        <v>386</v>
      </c>
      <c r="B3" s="15"/>
      <c r="C3" s="546"/>
      <c r="D3" s="135"/>
      <c r="E3" s="15"/>
      <c r="F3" s="15"/>
      <c r="G3" s="15"/>
      <c r="H3" s="15"/>
      <c r="I3" s="15"/>
      <c r="J3" s="15"/>
      <c r="K3" s="15"/>
      <c r="L3" s="15"/>
      <c r="M3" s="15"/>
      <c r="N3" s="15"/>
      <c r="O3" s="15"/>
      <c r="P3" s="15"/>
      <c r="Q3" s="15"/>
      <c r="R3" s="15"/>
      <c r="S3" s="15"/>
      <c r="T3" s="15"/>
      <c r="U3" s="15"/>
      <c r="V3" s="15"/>
      <c r="W3" s="15"/>
      <c r="X3" s="546"/>
      <c r="Y3" s="15"/>
      <c r="Z3" s="15"/>
      <c r="AA3" s="15"/>
      <c r="AB3" s="546"/>
      <c r="AC3" s="546"/>
      <c r="AD3" s="546"/>
      <c r="AE3" s="546"/>
    </row>
    <row r="5" spans="1:31" ht="15.6">
      <c r="A5" s="305"/>
      <c r="B5" s="306"/>
      <c r="C5" s="306"/>
      <c r="D5" s="306"/>
      <c r="E5" s="306"/>
      <c r="F5" s="340" t="s">
        <v>369</v>
      </c>
      <c r="G5" s="308"/>
      <c r="H5" s="308"/>
      <c r="I5" s="308"/>
      <c r="J5" s="308"/>
      <c r="K5" s="309"/>
      <c r="L5" s="307"/>
      <c r="M5" s="309"/>
      <c r="N5" s="309"/>
      <c r="O5" s="309"/>
      <c r="P5" s="308"/>
      <c r="Q5" s="308"/>
      <c r="R5" s="308"/>
      <c r="S5" s="310"/>
      <c r="T5" s="308"/>
      <c r="U5" s="308"/>
      <c r="V5" s="310"/>
      <c r="W5" s="310"/>
      <c r="X5" s="310"/>
      <c r="Y5" s="310"/>
      <c r="Z5" s="310"/>
      <c r="AA5" s="310"/>
      <c r="AB5" s="310"/>
      <c r="AC5" s="310"/>
      <c r="AD5" s="310"/>
      <c r="AE5" s="306"/>
    </row>
    <row r="6" spans="1:31">
      <c r="A6" s="636"/>
      <c r="B6" s="637"/>
      <c r="C6" s="637"/>
      <c r="D6" s="637"/>
      <c r="E6" s="637"/>
      <c r="F6" s="638"/>
      <c r="G6" s="639"/>
      <c r="H6" s="639"/>
      <c r="I6" s="639"/>
      <c r="J6" s="639"/>
      <c r="K6" s="640"/>
      <c r="L6" s="641"/>
      <c r="M6" s="640"/>
      <c r="N6" s="640"/>
      <c r="O6" s="640"/>
      <c r="P6" s="639"/>
      <c r="Q6" s="639"/>
      <c r="R6" s="639"/>
      <c r="S6" s="639"/>
      <c r="T6" s="639"/>
      <c r="U6" s="639"/>
      <c r="V6" s="639"/>
      <c r="W6" s="642"/>
      <c r="X6" s="642"/>
      <c r="Y6" s="642"/>
      <c r="Z6" s="642"/>
      <c r="AA6" s="642"/>
      <c r="AB6" s="642"/>
      <c r="AC6" s="642"/>
      <c r="AD6" s="643"/>
      <c r="AE6" s="637"/>
    </row>
    <row r="7" spans="1:31" ht="13.8">
      <c r="A7" s="636"/>
      <c r="B7" s="637"/>
      <c r="C7" s="637"/>
      <c r="D7" s="637"/>
      <c r="E7" s="637"/>
      <c r="F7" s="638"/>
      <c r="G7" s="639"/>
      <c r="H7" s="644" t="s">
        <v>370</v>
      </c>
      <c r="I7" s="644"/>
      <c r="J7" s="293"/>
      <c r="K7" s="293"/>
      <c r="L7" s="644" t="s">
        <v>371</v>
      </c>
      <c r="M7" s="644"/>
      <c r="N7" s="293"/>
      <c r="O7" s="293"/>
      <c r="P7" s="293"/>
      <c r="Q7" s="644" t="s">
        <v>372</v>
      </c>
      <c r="R7" s="640"/>
      <c r="S7" s="639"/>
      <c r="T7" s="639"/>
      <c r="U7" s="639"/>
      <c r="V7" s="644" t="s">
        <v>373</v>
      </c>
      <c r="W7" s="642"/>
      <c r="X7" s="642"/>
      <c r="Y7" s="642"/>
      <c r="Z7" s="644" t="s">
        <v>374</v>
      </c>
      <c r="AA7" s="642"/>
      <c r="AB7" s="642"/>
      <c r="AC7" s="642"/>
      <c r="AD7" s="643"/>
      <c r="AE7" s="637"/>
    </row>
    <row r="8" spans="1:31" ht="13.8">
      <c r="A8" s="636"/>
      <c r="B8" s="637"/>
      <c r="C8" s="637"/>
      <c r="D8" s="637"/>
      <c r="E8" s="637"/>
      <c r="F8" s="638"/>
      <c r="G8" s="639"/>
      <c r="H8" s="644"/>
      <c r="I8" s="644"/>
      <c r="J8" s="293"/>
      <c r="K8" s="293"/>
      <c r="L8" s="644"/>
      <c r="M8" s="644"/>
      <c r="N8" s="293"/>
      <c r="O8" s="293"/>
      <c r="P8" s="293"/>
      <c r="Q8" s="293"/>
      <c r="R8" s="640"/>
      <c r="S8" s="639"/>
      <c r="T8" s="639"/>
      <c r="U8" s="639"/>
      <c r="V8" s="644"/>
      <c r="W8" s="642"/>
      <c r="X8" s="642"/>
      <c r="Y8" s="642"/>
      <c r="Z8" s="644"/>
      <c r="AA8" s="642"/>
      <c r="AB8" s="642"/>
      <c r="AC8" s="642"/>
      <c r="AD8" s="643"/>
      <c r="AE8" s="637"/>
    </row>
    <row r="9" spans="1:31" ht="13.8">
      <c r="A9" s="636"/>
      <c r="B9" s="637"/>
      <c r="C9" s="637"/>
      <c r="D9" s="637"/>
      <c r="E9" s="637"/>
      <c r="F9" s="638"/>
      <c r="G9" s="639"/>
      <c r="H9" s="645" t="s">
        <v>375</v>
      </c>
      <c r="I9" s="644"/>
      <c r="J9" s="293"/>
      <c r="K9" s="293"/>
      <c r="L9" s="646" t="s">
        <v>387</v>
      </c>
      <c r="M9" s="644"/>
      <c r="N9" s="293"/>
      <c r="O9" s="293"/>
      <c r="P9" s="293"/>
      <c r="Q9" s="647" t="s">
        <v>25</v>
      </c>
      <c r="R9" s="640"/>
      <c r="S9" s="639"/>
      <c r="T9" s="639"/>
      <c r="U9" s="639"/>
      <c r="V9" s="586" t="s">
        <v>391</v>
      </c>
      <c r="W9" s="642"/>
      <c r="X9" s="642"/>
      <c r="Y9" s="642"/>
      <c r="Z9" s="648" t="s">
        <v>379</v>
      </c>
      <c r="AA9" s="642"/>
      <c r="AB9" s="642"/>
      <c r="AC9" s="642"/>
      <c r="AD9" s="643"/>
      <c r="AE9" s="637"/>
    </row>
    <row r="10" spans="1:31" ht="13.8">
      <c r="A10" s="636"/>
      <c r="B10" s="637"/>
      <c r="C10" s="637"/>
      <c r="D10" s="637"/>
      <c r="E10" s="637"/>
      <c r="F10" s="638"/>
      <c r="G10" s="639"/>
      <c r="H10" s="644" t="s">
        <v>377</v>
      </c>
      <c r="I10" s="644"/>
      <c r="J10" s="293"/>
      <c r="K10" s="293"/>
      <c r="L10" s="649" t="s">
        <v>388</v>
      </c>
      <c r="M10" s="644"/>
      <c r="N10" s="293"/>
      <c r="O10" s="293"/>
      <c r="P10" s="293"/>
      <c r="Q10" s="649" t="s">
        <v>394</v>
      </c>
      <c r="R10" s="640"/>
      <c r="S10" s="639"/>
      <c r="T10" s="639"/>
      <c r="U10" s="639"/>
      <c r="V10" s="644" t="s">
        <v>399</v>
      </c>
      <c r="W10" s="642"/>
      <c r="X10" s="642"/>
      <c r="Y10" s="642"/>
      <c r="Z10" s="644" t="s">
        <v>381</v>
      </c>
      <c r="AA10" s="642"/>
      <c r="AB10" s="642"/>
      <c r="AC10" s="642"/>
      <c r="AD10" s="643"/>
      <c r="AE10" s="637"/>
    </row>
    <row r="11" spans="1:31" ht="13.8">
      <c r="A11" s="636"/>
      <c r="B11" s="637"/>
      <c r="C11" s="637"/>
      <c r="D11" s="637"/>
      <c r="E11" s="637"/>
      <c r="F11" s="638"/>
      <c r="G11" s="639"/>
      <c r="H11" s="644"/>
      <c r="I11" s="644"/>
      <c r="J11" s="293"/>
      <c r="K11" s="293"/>
      <c r="L11" s="644"/>
      <c r="M11" s="644"/>
      <c r="N11" s="293"/>
      <c r="O11" s="293"/>
      <c r="P11" s="293"/>
      <c r="R11" s="640"/>
      <c r="S11" s="639"/>
      <c r="T11" s="639"/>
      <c r="U11" s="639"/>
      <c r="V11" s="644"/>
      <c r="W11" s="642"/>
      <c r="X11" s="642"/>
      <c r="Y11" s="642"/>
      <c r="Z11" s="642"/>
      <c r="AA11" s="642"/>
      <c r="AB11" s="642"/>
      <c r="AC11" s="642"/>
      <c r="AD11" s="643"/>
      <c r="AE11" s="637"/>
    </row>
    <row r="12" spans="1:31" ht="13.8">
      <c r="A12" s="636"/>
      <c r="B12" s="637"/>
      <c r="C12" s="637"/>
      <c r="D12" s="637"/>
      <c r="E12" s="637"/>
      <c r="F12" s="638"/>
      <c r="G12" s="639"/>
      <c r="H12" s="645" t="s">
        <v>378</v>
      </c>
      <c r="I12" s="644"/>
      <c r="J12" s="293"/>
      <c r="K12" s="293"/>
      <c r="L12" s="646" t="s">
        <v>383</v>
      </c>
      <c r="M12" s="644"/>
      <c r="N12" s="293"/>
      <c r="O12" s="293"/>
      <c r="P12" s="293"/>
      <c r="Q12" s="647" t="s">
        <v>23</v>
      </c>
      <c r="R12" s="640"/>
      <c r="S12" s="639"/>
      <c r="T12" s="639"/>
      <c r="U12" s="639"/>
      <c r="V12" s="586" t="s">
        <v>392</v>
      </c>
      <c r="W12" s="642"/>
      <c r="X12" s="642"/>
      <c r="Y12" s="642"/>
      <c r="Z12" s="648" t="s">
        <v>376</v>
      </c>
      <c r="AA12" s="642"/>
      <c r="AB12" s="642"/>
      <c r="AC12" s="642"/>
      <c r="AD12" s="643"/>
      <c r="AE12" s="637"/>
    </row>
    <row r="13" spans="1:31" ht="13.8">
      <c r="A13" s="636"/>
      <c r="B13" s="637"/>
      <c r="C13" s="637"/>
      <c r="D13" s="637"/>
      <c r="E13" s="637"/>
      <c r="F13" s="638"/>
      <c r="G13" s="639"/>
      <c r="H13" s="644" t="s">
        <v>380</v>
      </c>
      <c r="I13" s="644"/>
      <c r="J13" s="293"/>
      <c r="K13" s="293"/>
      <c r="L13" s="649" t="s">
        <v>385</v>
      </c>
      <c r="M13" s="644"/>
      <c r="N13" s="293"/>
      <c r="O13" s="293"/>
      <c r="P13" s="293"/>
      <c r="Q13" s="649" t="s">
        <v>393</v>
      </c>
      <c r="R13" s="640"/>
      <c r="S13" s="639"/>
      <c r="T13" s="639"/>
      <c r="U13" s="639"/>
      <c r="V13" s="644" t="s">
        <v>400</v>
      </c>
      <c r="W13" s="642"/>
      <c r="X13" s="642"/>
      <c r="Y13" s="642"/>
      <c r="Z13" s="644" t="s">
        <v>82</v>
      </c>
      <c r="AA13" s="642"/>
      <c r="AB13" s="642"/>
      <c r="AC13" s="642"/>
      <c r="AD13" s="643"/>
      <c r="AE13" s="637"/>
    </row>
    <row r="14" spans="1:31" ht="13.8">
      <c r="A14" s="636"/>
      <c r="B14" s="637"/>
      <c r="C14" s="637"/>
      <c r="D14" s="637"/>
      <c r="E14" s="637"/>
      <c r="F14" s="638"/>
      <c r="G14" s="639"/>
      <c r="H14" s="293"/>
      <c r="I14" s="644"/>
      <c r="J14" s="293"/>
      <c r="K14" s="293"/>
      <c r="M14" s="644"/>
      <c r="N14" s="293"/>
      <c r="O14" s="293"/>
      <c r="P14" s="293"/>
      <c r="Q14" s="644"/>
      <c r="R14" s="640"/>
      <c r="S14" s="639"/>
      <c r="T14" s="639"/>
      <c r="U14" s="639"/>
      <c r="V14" s="639"/>
      <c r="W14" s="642"/>
      <c r="X14" s="642"/>
      <c r="Y14" s="642"/>
      <c r="AA14" s="642"/>
      <c r="AB14" s="642"/>
      <c r="AC14" s="642"/>
      <c r="AD14" s="643"/>
      <c r="AE14" s="637"/>
    </row>
    <row r="15" spans="1:31" ht="13.8">
      <c r="A15" s="636"/>
      <c r="B15" s="637"/>
      <c r="C15" s="637"/>
      <c r="D15" s="637"/>
      <c r="E15" s="637"/>
      <c r="F15" s="638"/>
      <c r="G15" s="639"/>
      <c r="H15" s="645" t="s">
        <v>382</v>
      </c>
      <c r="I15" s="644"/>
      <c r="J15" s="644"/>
      <c r="K15" s="644"/>
      <c r="M15" s="640"/>
      <c r="N15" s="293"/>
      <c r="O15" s="293"/>
      <c r="P15" s="293"/>
      <c r="Q15" s="647" t="s">
        <v>389</v>
      </c>
      <c r="R15" s="640"/>
      <c r="S15" s="639"/>
      <c r="T15" s="639"/>
      <c r="U15" s="639"/>
      <c r="V15" s="639"/>
      <c r="W15" s="642"/>
      <c r="X15" s="642"/>
      <c r="Y15" s="642"/>
      <c r="AA15" s="642"/>
      <c r="AB15" s="642"/>
      <c r="AC15" s="642"/>
      <c r="AD15" s="643"/>
      <c r="AE15" s="637"/>
    </row>
    <row r="16" spans="1:31" ht="13.8">
      <c r="A16" s="636"/>
      <c r="B16" s="637"/>
      <c r="C16" s="637"/>
      <c r="D16" s="637"/>
      <c r="E16" s="637"/>
      <c r="F16" s="638"/>
      <c r="G16" s="639"/>
      <c r="H16" s="644" t="s">
        <v>384</v>
      </c>
      <c r="I16" s="644"/>
      <c r="J16" s="644"/>
      <c r="K16" s="644"/>
      <c r="M16" s="640"/>
      <c r="N16" s="640"/>
      <c r="O16" s="640"/>
      <c r="P16" s="639"/>
      <c r="Q16" s="649" t="s">
        <v>416</v>
      </c>
      <c r="R16" s="639"/>
      <c r="S16" s="639"/>
      <c r="T16" s="639"/>
      <c r="U16" s="639"/>
      <c r="V16" s="639"/>
      <c r="W16" s="642"/>
      <c r="X16" s="642"/>
      <c r="Y16" s="642"/>
      <c r="AA16" s="642"/>
      <c r="AB16" s="642"/>
      <c r="AC16" s="642"/>
      <c r="AD16" s="643"/>
      <c r="AE16" s="637"/>
    </row>
    <row r="17" spans="1:31" ht="13.8">
      <c r="A17" s="636"/>
      <c r="B17" s="637"/>
      <c r="C17" s="637"/>
      <c r="D17" s="637"/>
      <c r="E17" s="637"/>
      <c r="F17" s="638"/>
      <c r="G17" s="639"/>
      <c r="H17" s="644"/>
      <c r="I17" s="644"/>
      <c r="J17" s="644"/>
      <c r="K17" s="644"/>
      <c r="M17" s="640"/>
      <c r="N17" s="640"/>
      <c r="O17" s="640"/>
      <c r="P17" s="639"/>
      <c r="Q17" s="649"/>
      <c r="R17" s="639"/>
      <c r="S17" s="639"/>
      <c r="T17" s="639"/>
      <c r="U17" s="639"/>
      <c r="V17" s="639"/>
      <c r="W17" s="642"/>
      <c r="X17" s="642"/>
      <c r="Y17" s="642"/>
      <c r="Z17" s="644"/>
      <c r="AA17" s="642"/>
      <c r="AB17" s="642"/>
      <c r="AC17" s="642"/>
      <c r="AD17" s="643"/>
      <c r="AE17" s="637"/>
    </row>
    <row r="18" spans="1:31" ht="13.8">
      <c r="A18" s="636"/>
      <c r="B18" s="637"/>
      <c r="C18" s="637"/>
      <c r="D18" s="637"/>
      <c r="E18" s="637"/>
      <c r="F18" s="638"/>
      <c r="G18" s="639"/>
      <c r="H18" s="645" t="s">
        <v>594</v>
      </c>
      <c r="I18" s="644"/>
      <c r="J18" s="644"/>
      <c r="K18" s="644"/>
      <c r="M18" s="640"/>
      <c r="N18" s="640"/>
      <c r="O18" s="640"/>
      <c r="P18" s="639"/>
      <c r="Q18" s="647" t="s">
        <v>415</v>
      </c>
      <c r="R18" s="639"/>
      <c r="S18" s="639"/>
      <c r="T18" s="639"/>
      <c r="U18" s="639"/>
      <c r="W18" s="642"/>
      <c r="X18" s="642"/>
      <c r="Y18" s="642"/>
      <c r="Z18" s="642"/>
      <c r="AA18" s="642"/>
      <c r="AB18" s="642"/>
      <c r="AC18" s="642"/>
      <c r="AD18" s="643"/>
      <c r="AE18" s="637"/>
    </row>
    <row r="19" spans="1:31" ht="13.8">
      <c r="A19" s="636"/>
      <c r="B19" s="637"/>
      <c r="C19" s="637"/>
      <c r="D19" s="637"/>
      <c r="E19" s="637"/>
      <c r="F19" s="638"/>
      <c r="G19" s="639"/>
      <c r="H19" s="644" t="s">
        <v>595</v>
      </c>
      <c r="I19" s="644"/>
      <c r="J19" s="644"/>
      <c r="K19" s="644"/>
      <c r="M19" s="640"/>
      <c r="N19" s="640"/>
      <c r="O19" s="640"/>
      <c r="P19" s="639"/>
      <c r="Q19" s="649" t="s">
        <v>417</v>
      </c>
      <c r="R19" s="639"/>
      <c r="S19" s="639"/>
      <c r="T19" s="639"/>
      <c r="U19" s="639"/>
      <c r="W19" s="642"/>
      <c r="X19" s="642"/>
      <c r="Y19" s="642"/>
      <c r="Z19" s="642"/>
      <c r="AA19" s="642"/>
      <c r="AB19" s="642"/>
      <c r="AC19" s="642"/>
      <c r="AD19" s="643"/>
      <c r="AE19" s="637"/>
    </row>
    <row r="20" spans="1:31" ht="13.8">
      <c r="A20" s="636"/>
      <c r="B20" s="637"/>
      <c r="C20" s="637"/>
      <c r="D20" s="637"/>
      <c r="E20" s="637"/>
      <c r="F20" s="638"/>
      <c r="G20" s="639"/>
      <c r="H20" s="644"/>
      <c r="I20" s="644"/>
      <c r="J20" s="644"/>
      <c r="K20" s="644"/>
      <c r="M20" s="640"/>
      <c r="N20" s="640"/>
      <c r="O20" s="640"/>
      <c r="P20" s="639"/>
      <c r="Q20" s="649"/>
      <c r="R20" s="639"/>
      <c r="S20" s="639"/>
      <c r="T20" s="639"/>
      <c r="U20" s="639"/>
      <c r="V20" s="639"/>
      <c r="W20" s="642"/>
      <c r="X20" s="642"/>
      <c r="Y20" s="642"/>
      <c r="Z20" s="642"/>
      <c r="AA20" s="642"/>
      <c r="AB20" s="642"/>
      <c r="AC20" s="642"/>
      <c r="AD20" s="643"/>
      <c r="AE20" s="637"/>
    </row>
    <row r="21" spans="1:31" ht="13.8">
      <c r="A21" s="636"/>
      <c r="B21" s="637"/>
      <c r="C21" s="637"/>
      <c r="D21" s="637"/>
      <c r="E21" s="637"/>
      <c r="F21" s="638"/>
      <c r="G21" s="639"/>
      <c r="H21" s="644"/>
      <c r="I21" s="644"/>
      <c r="J21" s="644"/>
      <c r="K21" s="644"/>
      <c r="M21" s="640"/>
      <c r="N21" s="640"/>
      <c r="O21" s="640"/>
      <c r="P21" s="639"/>
      <c r="Q21" s="647" t="s">
        <v>390</v>
      </c>
      <c r="R21" s="639"/>
      <c r="S21" s="639"/>
      <c r="T21" s="639"/>
      <c r="U21" s="639"/>
      <c r="W21" s="642"/>
      <c r="X21" s="642"/>
      <c r="Y21" s="642"/>
      <c r="Z21" s="642"/>
      <c r="AA21" s="642"/>
      <c r="AB21" s="642"/>
      <c r="AC21" s="642"/>
      <c r="AD21" s="643"/>
      <c r="AE21" s="637"/>
    </row>
    <row r="22" spans="1:31" ht="13.8">
      <c r="A22" s="636"/>
      <c r="B22" s="637"/>
      <c r="C22" s="637"/>
      <c r="D22" s="637"/>
      <c r="E22" s="637"/>
      <c r="F22" s="638"/>
      <c r="G22" s="639"/>
      <c r="H22" s="644"/>
      <c r="I22" s="644"/>
      <c r="J22" s="644"/>
      <c r="K22" s="644"/>
      <c r="L22" s="644"/>
      <c r="M22" s="640"/>
      <c r="N22" s="640"/>
      <c r="O22" s="640"/>
      <c r="P22" s="639"/>
      <c r="Q22" s="649" t="s">
        <v>396</v>
      </c>
      <c r="R22" s="639"/>
      <c r="S22" s="639"/>
      <c r="T22" s="639"/>
      <c r="U22" s="639"/>
      <c r="W22" s="642"/>
      <c r="X22" s="642"/>
      <c r="Y22" s="642"/>
      <c r="Z22" s="642"/>
      <c r="AA22" s="642"/>
      <c r="AB22" s="642"/>
      <c r="AC22" s="642"/>
      <c r="AD22" s="643"/>
      <c r="AE22" s="637"/>
    </row>
    <row r="23" spans="1:31" ht="13.8">
      <c r="A23" s="636"/>
      <c r="B23" s="637"/>
      <c r="C23" s="637"/>
      <c r="D23" s="637"/>
      <c r="E23" s="637"/>
      <c r="F23" s="638"/>
      <c r="G23" s="639"/>
      <c r="H23" s="644"/>
      <c r="I23" s="644"/>
      <c r="J23" s="644"/>
      <c r="K23" s="644"/>
      <c r="L23" s="644"/>
      <c r="M23" s="640"/>
      <c r="N23" s="640"/>
      <c r="O23" s="640"/>
      <c r="P23" s="639"/>
      <c r="R23" s="639"/>
      <c r="S23" s="639"/>
      <c r="T23" s="639"/>
      <c r="U23" s="639"/>
      <c r="W23" s="642"/>
      <c r="X23" s="642"/>
      <c r="Y23" s="642"/>
      <c r="Z23" s="642"/>
      <c r="AA23" s="642"/>
      <c r="AB23" s="642"/>
      <c r="AC23" s="642"/>
      <c r="AD23" s="643"/>
      <c r="AE23" s="637"/>
    </row>
    <row r="24" spans="1:31" ht="13.8">
      <c r="A24" s="636"/>
      <c r="B24" s="637"/>
      <c r="C24" s="637"/>
      <c r="D24" s="637"/>
      <c r="E24" s="637"/>
      <c r="F24" s="638"/>
      <c r="G24" s="639"/>
      <c r="H24" s="644"/>
      <c r="I24" s="644"/>
      <c r="J24" s="644"/>
      <c r="K24" s="644"/>
      <c r="L24" s="644"/>
      <c r="M24" s="640"/>
      <c r="N24" s="640"/>
      <c r="O24" s="640"/>
      <c r="P24" s="639"/>
      <c r="Q24" s="647" t="s">
        <v>27</v>
      </c>
      <c r="R24" s="639"/>
      <c r="S24" s="639"/>
      <c r="T24" s="639"/>
      <c r="U24" s="639"/>
      <c r="W24" s="642"/>
      <c r="X24" s="642"/>
      <c r="Y24" s="642"/>
      <c r="Z24" s="642"/>
      <c r="AA24" s="642"/>
      <c r="AB24" s="642"/>
      <c r="AC24" s="642"/>
      <c r="AD24" s="643"/>
      <c r="AE24" s="637"/>
    </row>
    <row r="25" spans="1:31" ht="13.8">
      <c r="A25" s="636"/>
      <c r="B25" s="637"/>
      <c r="C25" s="637"/>
      <c r="D25" s="637"/>
      <c r="E25" s="637"/>
      <c r="F25" s="638"/>
      <c r="G25" s="639"/>
      <c r="H25" s="644"/>
      <c r="I25" s="644"/>
      <c r="J25" s="644"/>
      <c r="K25" s="644"/>
      <c r="L25" s="644"/>
      <c r="M25" s="640"/>
      <c r="N25" s="640"/>
      <c r="O25" s="640"/>
      <c r="P25" s="639"/>
      <c r="Q25" s="649" t="s">
        <v>395</v>
      </c>
      <c r="R25" s="639"/>
      <c r="S25" s="639"/>
      <c r="T25" s="639"/>
      <c r="U25" s="639"/>
      <c r="W25" s="642"/>
      <c r="X25" s="642"/>
      <c r="Y25" s="642"/>
      <c r="Z25" s="642"/>
      <c r="AA25" s="642"/>
      <c r="AB25" s="642"/>
      <c r="AC25" s="642"/>
      <c r="AD25" s="643"/>
      <c r="AE25" s="637"/>
    </row>
    <row r="26" spans="1:31" ht="13.8">
      <c r="A26" s="636"/>
      <c r="B26" s="637"/>
      <c r="C26" s="637"/>
      <c r="D26" s="637"/>
      <c r="E26" s="637"/>
      <c r="F26" s="638"/>
      <c r="G26" s="639"/>
      <c r="H26" s="644"/>
      <c r="I26" s="644"/>
      <c r="J26" s="644"/>
      <c r="K26" s="644"/>
      <c r="L26" s="644"/>
      <c r="M26" s="640"/>
      <c r="N26" s="640"/>
      <c r="O26" s="640"/>
      <c r="P26" s="639"/>
      <c r="R26" s="639"/>
      <c r="S26" s="639"/>
      <c r="T26" s="639"/>
      <c r="U26" s="639"/>
      <c r="W26" s="642"/>
      <c r="X26" s="642"/>
      <c r="Y26" s="642"/>
      <c r="Z26" s="642"/>
      <c r="AA26" s="642"/>
      <c r="AB26" s="642"/>
      <c r="AC26" s="642"/>
      <c r="AD26" s="643"/>
      <c r="AE26" s="637"/>
    </row>
    <row r="27" spans="1:31" ht="13.8">
      <c r="A27" s="636"/>
      <c r="B27" s="637"/>
      <c r="C27" s="637"/>
      <c r="D27" s="637"/>
      <c r="E27" s="637"/>
      <c r="F27" s="638"/>
      <c r="G27" s="639"/>
      <c r="H27" s="644"/>
      <c r="I27" s="644"/>
      <c r="J27" s="644"/>
      <c r="K27" s="644"/>
      <c r="L27" s="644"/>
      <c r="M27" s="640"/>
      <c r="N27" s="640"/>
      <c r="O27" s="640"/>
      <c r="P27" s="639"/>
      <c r="Q27" s="647" t="s">
        <v>397</v>
      </c>
      <c r="R27" s="639"/>
      <c r="S27" s="639"/>
      <c r="T27" s="639"/>
      <c r="U27" s="639"/>
      <c r="V27" s="639"/>
      <c r="W27" s="642"/>
      <c r="X27" s="642"/>
      <c r="Y27" s="642"/>
      <c r="Z27" s="642"/>
      <c r="AA27" s="642"/>
      <c r="AB27" s="642"/>
      <c r="AC27" s="642"/>
      <c r="AD27" s="643"/>
      <c r="AE27" s="637"/>
    </row>
    <row r="28" spans="1:31" ht="13.8">
      <c r="A28" s="636"/>
      <c r="B28" s="637"/>
      <c r="C28" s="637"/>
      <c r="D28" s="637"/>
      <c r="E28" s="637"/>
      <c r="F28" s="638"/>
      <c r="G28" s="639"/>
      <c r="H28" s="644"/>
      <c r="I28" s="644"/>
      <c r="J28" s="644"/>
      <c r="K28" s="644"/>
      <c r="L28" s="644"/>
      <c r="M28" s="640"/>
      <c r="N28" s="640"/>
      <c r="O28" s="640"/>
      <c r="P28" s="639"/>
      <c r="Q28" s="649" t="s">
        <v>398</v>
      </c>
      <c r="R28" s="639"/>
      <c r="S28" s="639"/>
      <c r="T28" s="639"/>
      <c r="U28" s="639"/>
      <c r="V28" s="639"/>
      <c r="W28" s="642"/>
      <c r="X28" s="642"/>
      <c r="Y28" s="642"/>
      <c r="Z28" s="642"/>
      <c r="AA28" s="642"/>
      <c r="AB28" s="642"/>
      <c r="AC28" s="642"/>
      <c r="AD28" s="643"/>
      <c r="AE28" s="637"/>
    </row>
    <row r="29" spans="1:31">
      <c r="F29" s="315"/>
      <c r="G29" s="316"/>
      <c r="H29" s="317"/>
      <c r="I29" s="316"/>
      <c r="J29" s="316"/>
      <c r="K29" s="316"/>
      <c r="L29" s="316"/>
      <c r="M29" s="316"/>
      <c r="N29" s="316"/>
      <c r="O29" s="316"/>
      <c r="P29" s="316"/>
      <c r="Q29" s="316"/>
      <c r="R29" s="316"/>
      <c r="S29" s="316"/>
      <c r="T29" s="316"/>
      <c r="U29" s="316"/>
      <c r="V29" s="316"/>
      <c r="W29" s="316"/>
      <c r="X29" s="316"/>
      <c r="Y29" s="316"/>
      <c r="Z29" s="316"/>
      <c r="AA29" s="316"/>
      <c r="AB29" s="316"/>
      <c r="AC29" s="316"/>
      <c r="AD29" s="318"/>
    </row>
    <row r="31" spans="1:31" s="382" customFormat="1" ht="15" customHeight="1">
      <c r="A31" s="15" t="s">
        <v>154</v>
      </c>
      <c r="B31" s="15"/>
      <c r="C31" s="381"/>
      <c r="D31" s="135"/>
      <c r="E31" s="15"/>
      <c r="F31" s="15"/>
      <c r="G31" s="15"/>
      <c r="H31" s="15"/>
      <c r="I31" s="15"/>
      <c r="J31" s="15"/>
      <c r="K31" s="15"/>
      <c r="L31" s="15"/>
      <c r="M31" s="15"/>
      <c r="N31" s="15"/>
      <c r="O31" s="15"/>
      <c r="P31" s="15"/>
      <c r="Q31" s="15"/>
      <c r="R31" s="15"/>
      <c r="S31" s="15"/>
      <c r="T31" s="15"/>
      <c r="U31" s="15"/>
      <c r="V31" s="15"/>
      <c r="W31" s="15"/>
      <c r="X31" s="381"/>
      <c r="Y31" s="15"/>
      <c r="Z31" s="15"/>
      <c r="AA31" s="15"/>
      <c r="AB31" s="381"/>
      <c r="AC31" s="381"/>
      <c r="AD31" s="381"/>
      <c r="AE31" s="381"/>
    </row>
    <row r="32" spans="1:31">
      <c r="B32" s="11"/>
      <c r="C32" s="12"/>
      <c r="D32" s="149"/>
      <c r="E32" s="320"/>
      <c r="G32" s="311"/>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row>
    <row r="33" spans="1:31">
      <c r="B33" s="11"/>
      <c r="C33" s="12"/>
      <c r="D33" s="149"/>
      <c r="E33" s="120"/>
      <c r="F33" s="120"/>
      <c r="G33" s="120"/>
      <c r="H33" s="321" t="s">
        <v>155</v>
      </c>
      <c r="J33" s="119" t="s">
        <v>156</v>
      </c>
      <c r="K33" s="120"/>
      <c r="L33" s="120"/>
      <c r="M33" s="120"/>
      <c r="N33" s="120"/>
      <c r="O33" s="120"/>
      <c r="P33" s="120"/>
      <c r="Q33" s="120"/>
      <c r="R33" s="120"/>
      <c r="S33" s="120"/>
      <c r="T33" s="120"/>
      <c r="U33" s="120"/>
      <c r="V33" s="120"/>
      <c r="W33" s="120"/>
      <c r="X33" s="120"/>
      <c r="Y33" s="120"/>
      <c r="Z33" s="120"/>
      <c r="AA33" s="120"/>
      <c r="AB33" s="120"/>
      <c r="AC33" s="120"/>
      <c r="AD33" s="120"/>
      <c r="AE33" s="120"/>
    </row>
    <row r="34" spans="1:31">
      <c r="B34" s="11"/>
      <c r="C34" s="12"/>
      <c r="D34" s="149"/>
      <c r="E34" s="120"/>
      <c r="F34" s="120"/>
      <c r="G34" s="120"/>
      <c r="H34" s="158"/>
      <c r="K34" s="120"/>
      <c r="L34" s="120"/>
      <c r="M34" s="120"/>
      <c r="N34" s="120"/>
      <c r="O34" s="120"/>
      <c r="P34" s="120"/>
      <c r="Q34" s="120"/>
      <c r="R34" s="120"/>
      <c r="S34" s="120"/>
      <c r="T34" s="120"/>
      <c r="U34" s="120"/>
      <c r="V34" s="120"/>
      <c r="W34" s="120"/>
      <c r="X34" s="120"/>
      <c r="Y34" s="120"/>
      <c r="Z34" s="120"/>
      <c r="AA34" s="120"/>
      <c r="AB34" s="120"/>
      <c r="AC34" s="120"/>
      <c r="AD34" s="120"/>
      <c r="AE34" s="120"/>
    </row>
    <row r="35" spans="1:31">
      <c r="B35" s="11"/>
      <c r="C35" s="12"/>
      <c r="D35" s="149"/>
      <c r="E35" s="120"/>
      <c r="F35" s="120"/>
      <c r="G35" s="120"/>
      <c r="H35" s="322" t="s">
        <v>157</v>
      </c>
      <c r="J35" s="119" t="s">
        <v>158</v>
      </c>
      <c r="K35" s="120"/>
      <c r="L35" s="120"/>
      <c r="M35" s="120"/>
      <c r="N35" s="120"/>
      <c r="O35" s="120"/>
      <c r="P35" s="120"/>
      <c r="Q35" s="120"/>
      <c r="R35" s="120"/>
      <c r="S35" s="120"/>
      <c r="T35" s="120"/>
      <c r="U35" s="120"/>
      <c r="V35" s="120"/>
      <c r="W35" s="120"/>
      <c r="X35" s="120"/>
      <c r="Y35" s="120"/>
      <c r="Z35" s="120"/>
      <c r="AA35" s="120"/>
      <c r="AB35" s="120"/>
      <c r="AC35" s="120"/>
      <c r="AD35" s="120"/>
      <c r="AE35" s="120"/>
    </row>
    <row r="36" spans="1:31">
      <c r="B36" s="11"/>
      <c r="C36" s="12"/>
      <c r="D36" s="149"/>
      <c r="E36" s="120"/>
      <c r="F36" s="120"/>
      <c r="G36" s="120"/>
      <c r="H36" s="158"/>
      <c r="K36" s="120"/>
      <c r="L36" s="120"/>
      <c r="M36" s="120"/>
      <c r="N36" s="120"/>
      <c r="O36" s="120"/>
      <c r="P36" s="120"/>
      <c r="Q36" s="120"/>
      <c r="R36" s="120"/>
      <c r="S36" s="120"/>
      <c r="T36" s="120"/>
      <c r="U36" s="120"/>
      <c r="V36" s="120"/>
      <c r="W36" s="120"/>
      <c r="X36" s="120"/>
      <c r="Y36" s="120"/>
      <c r="Z36" s="120"/>
      <c r="AA36" s="120"/>
      <c r="AB36" s="120"/>
      <c r="AC36" s="120"/>
      <c r="AD36" s="120"/>
      <c r="AE36" s="120"/>
    </row>
    <row r="37" spans="1:31">
      <c r="B37" s="11"/>
      <c r="C37" s="12"/>
      <c r="D37" s="149"/>
      <c r="E37" s="120"/>
      <c r="F37" s="120"/>
      <c r="G37" s="120"/>
      <c r="H37" s="323" t="s">
        <v>159</v>
      </c>
      <c r="J37" s="119" t="s">
        <v>160</v>
      </c>
      <c r="K37" s="120"/>
      <c r="L37" s="120"/>
      <c r="M37" s="120"/>
      <c r="N37" s="120"/>
      <c r="O37" s="120"/>
      <c r="P37" s="120"/>
      <c r="Q37" s="120"/>
      <c r="R37" s="120"/>
      <c r="S37" s="120"/>
      <c r="T37" s="120"/>
      <c r="U37" s="120"/>
      <c r="V37" s="120"/>
      <c r="W37" s="120"/>
      <c r="X37" s="120"/>
      <c r="Y37" s="120"/>
      <c r="Z37" s="120"/>
      <c r="AA37" s="120"/>
      <c r="AB37" s="120"/>
      <c r="AC37" s="120"/>
      <c r="AD37" s="120"/>
      <c r="AE37" s="120"/>
    </row>
    <row r="38" spans="1:31">
      <c r="B38" s="11"/>
      <c r="C38" s="12"/>
      <c r="D38" s="149"/>
      <c r="E38" s="120"/>
      <c r="F38" s="120"/>
      <c r="G38" s="120"/>
      <c r="H38" s="158"/>
      <c r="K38" s="120"/>
      <c r="L38" s="120"/>
      <c r="M38" s="120"/>
      <c r="N38" s="120"/>
      <c r="O38" s="120"/>
      <c r="P38" s="120"/>
      <c r="Q38" s="120"/>
      <c r="R38" s="120"/>
      <c r="S38" s="120"/>
      <c r="T38" s="120"/>
      <c r="U38" s="120"/>
      <c r="V38" s="120"/>
      <c r="W38" s="120"/>
      <c r="X38" s="120"/>
      <c r="Y38" s="120"/>
      <c r="Z38" s="120"/>
      <c r="AA38" s="120"/>
      <c r="AB38" s="120"/>
      <c r="AC38" s="120"/>
      <c r="AD38" s="120"/>
      <c r="AE38" s="120"/>
    </row>
    <row r="39" spans="1:31">
      <c r="B39" s="11"/>
      <c r="C39" s="12"/>
      <c r="D39" s="149"/>
      <c r="E39" s="120"/>
      <c r="F39" s="120"/>
      <c r="G39" s="120"/>
      <c r="H39" s="339" t="s">
        <v>161</v>
      </c>
      <c r="J39" s="119" t="s">
        <v>162</v>
      </c>
      <c r="K39" s="120"/>
      <c r="L39" s="120"/>
      <c r="M39" s="120"/>
      <c r="N39" s="120"/>
      <c r="O39" s="120"/>
      <c r="P39" s="120"/>
      <c r="Q39" s="120"/>
      <c r="R39" s="120"/>
      <c r="S39" s="120"/>
      <c r="T39" s="120"/>
      <c r="U39" s="120"/>
      <c r="V39" s="120"/>
      <c r="W39" s="120"/>
      <c r="X39" s="120"/>
      <c r="Y39" s="120"/>
      <c r="Z39" s="120"/>
      <c r="AA39" s="120"/>
      <c r="AB39" s="120"/>
      <c r="AC39" s="120"/>
      <c r="AD39" s="120"/>
      <c r="AE39" s="120"/>
    </row>
    <row r="40" spans="1:31">
      <c r="B40" s="11"/>
      <c r="C40" s="12"/>
      <c r="D40" s="149"/>
      <c r="E40" s="120"/>
      <c r="F40" s="120"/>
      <c r="G40" s="120"/>
      <c r="H40" s="158"/>
      <c r="K40" s="120"/>
      <c r="L40" s="120"/>
      <c r="M40" s="120"/>
      <c r="N40" s="120"/>
      <c r="O40" s="120"/>
      <c r="P40" s="120"/>
      <c r="Q40" s="120"/>
      <c r="R40" s="120"/>
      <c r="S40" s="120"/>
      <c r="T40" s="120"/>
      <c r="U40" s="120"/>
      <c r="V40" s="120"/>
      <c r="W40" s="120"/>
      <c r="X40" s="120"/>
      <c r="Y40" s="120"/>
      <c r="Z40" s="120"/>
      <c r="AA40" s="120"/>
      <c r="AB40" s="120"/>
      <c r="AC40" s="120"/>
      <c r="AD40" s="120"/>
      <c r="AE40" s="120"/>
    </row>
    <row r="41" spans="1:31">
      <c r="B41" s="11"/>
      <c r="C41" s="12"/>
      <c r="D41" s="149"/>
      <c r="H41" s="324" t="s">
        <v>163</v>
      </c>
      <c r="J41" s="119" t="s">
        <v>164</v>
      </c>
    </row>
    <row r="42" spans="1:31">
      <c r="B42" s="11"/>
      <c r="C42" s="12"/>
      <c r="D42" s="149"/>
      <c r="H42" s="119"/>
    </row>
    <row r="43" spans="1:31" s="382" customFormat="1" ht="15" customHeight="1">
      <c r="A43" s="15" t="s">
        <v>165</v>
      </c>
      <c r="B43" s="15"/>
      <c r="C43" s="381"/>
      <c r="D43" s="135"/>
      <c r="E43" s="15"/>
      <c r="F43" s="15"/>
      <c r="G43" s="15"/>
      <c r="H43" s="15"/>
      <c r="I43" s="15"/>
      <c r="J43" s="15"/>
      <c r="K43" s="15"/>
      <c r="L43" s="15"/>
      <c r="M43" s="15"/>
      <c r="N43" s="15"/>
      <c r="O43" s="15"/>
      <c r="P43" s="15"/>
      <c r="Q43" s="15"/>
      <c r="R43" s="15"/>
      <c r="S43" s="15"/>
      <c r="T43" s="15"/>
      <c r="U43" s="15"/>
      <c r="V43" s="15"/>
      <c r="W43" s="15"/>
      <c r="X43" s="381"/>
      <c r="Y43" s="15"/>
      <c r="Z43" s="15"/>
      <c r="AA43" s="15"/>
      <c r="AB43" s="381"/>
      <c r="AC43" s="381"/>
      <c r="AD43" s="381"/>
      <c r="AE43" s="381"/>
    </row>
    <row r="44" spans="1:31">
      <c r="A44" s="141"/>
      <c r="B44" s="141"/>
      <c r="C44" s="325"/>
      <c r="D44" s="231"/>
      <c r="E44" s="293"/>
      <c r="F44" s="293"/>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row>
    <row r="45" spans="1:31">
      <c r="A45" s="141"/>
      <c r="B45" s="141" t="s">
        <v>166</v>
      </c>
      <c r="C45" s="325"/>
      <c r="D45" s="231"/>
      <c r="E45" s="293"/>
      <c r="F45" s="293"/>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row>
    <row r="46" spans="1:31">
      <c r="A46" s="141"/>
      <c r="B46" s="141"/>
      <c r="C46" s="325"/>
      <c r="D46" s="231"/>
      <c r="E46" s="120"/>
      <c r="F46" s="120"/>
      <c r="G46" s="120"/>
      <c r="H46" s="326" t="s">
        <v>167</v>
      </c>
      <c r="J46" s="293" t="s">
        <v>168</v>
      </c>
      <c r="K46" s="120"/>
      <c r="L46" s="120"/>
      <c r="M46" s="120"/>
      <c r="N46" s="120"/>
      <c r="O46" s="120"/>
      <c r="P46" s="120"/>
      <c r="Q46" s="120"/>
      <c r="R46" s="120"/>
      <c r="S46" s="120"/>
      <c r="T46" s="120"/>
      <c r="U46" s="120"/>
      <c r="V46" s="120"/>
      <c r="W46" s="120"/>
      <c r="X46" s="120"/>
      <c r="Y46" s="120"/>
      <c r="Z46" s="120"/>
      <c r="AA46" s="120"/>
      <c r="AB46" s="120"/>
      <c r="AC46" s="120"/>
      <c r="AD46" s="120"/>
      <c r="AE46" s="120"/>
    </row>
    <row r="47" spans="1:31">
      <c r="A47" s="141"/>
      <c r="B47" s="141"/>
      <c r="C47" s="325"/>
      <c r="D47" s="231"/>
      <c r="E47" s="120"/>
      <c r="F47" s="120"/>
      <c r="G47" s="120"/>
      <c r="H47" s="293"/>
      <c r="K47" s="120"/>
      <c r="L47" s="120"/>
      <c r="M47" s="120"/>
      <c r="N47" s="120"/>
      <c r="O47" s="120"/>
      <c r="P47" s="120"/>
      <c r="Q47" s="120"/>
      <c r="R47" s="120"/>
      <c r="S47" s="120"/>
      <c r="T47" s="120"/>
      <c r="U47" s="120"/>
      <c r="V47" s="120"/>
      <c r="W47" s="120"/>
      <c r="X47" s="120"/>
      <c r="Y47" s="120"/>
      <c r="Z47" s="120"/>
      <c r="AA47" s="120"/>
      <c r="AB47" s="120"/>
      <c r="AC47" s="120"/>
      <c r="AD47" s="120"/>
      <c r="AE47" s="120"/>
    </row>
    <row r="48" spans="1:31">
      <c r="A48" s="141"/>
      <c r="B48" s="141"/>
      <c r="C48" s="325"/>
      <c r="D48" s="231"/>
      <c r="E48" s="120"/>
      <c r="F48" s="120"/>
      <c r="G48" s="120"/>
      <c r="H48" s="327" t="s">
        <v>169</v>
      </c>
      <c r="J48" s="293" t="s">
        <v>170</v>
      </c>
      <c r="K48" s="120"/>
      <c r="L48" s="120"/>
      <c r="M48" s="120"/>
      <c r="N48" s="120"/>
      <c r="O48" s="120"/>
      <c r="P48" s="120"/>
      <c r="Q48" s="120"/>
      <c r="R48" s="120"/>
      <c r="S48" s="120"/>
      <c r="T48" s="120"/>
      <c r="U48" s="120"/>
      <c r="V48" s="120"/>
      <c r="W48" s="120"/>
      <c r="X48" s="120"/>
      <c r="Y48" s="120"/>
      <c r="Z48" s="120"/>
      <c r="AA48" s="120"/>
      <c r="AB48" s="120"/>
      <c r="AC48" s="120"/>
      <c r="AD48" s="120"/>
      <c r="AE48" s="120"/>
    </row>
    <row r="49" spans="1:31">
      <c r="A49" s="141"/>
      <c r="B49" s="141"/>
      <c r="C49" s="325"/>
      <c r="D49" s="231"/>
      <c r="E49" s="120"/>
      <c r="F49" s="120"/>
      <c r="G49" s="120"/>
      <c r="H49" s="293"/>
      <c r="J49" s="293"/>
      <c r="K49" s="120"/>
      <c r="L49" s="120"/>
      <c r="M49" s="120"/>
      <c r="N49" s="120"/>
      <c r="O49" s="120"/>
      <c r="P49" s="120"/>
      <c r="Q49" s="120"/>
      <c r="R49" s="120"/>
      <c r="S49" s="120"/>
      <c r="T49" s="120"/>
      <c r="U49" s="120"/>
      <c r="V49" s="120"/>
      <c r="W49" s="120"/>
      <c r="X49" s="120"/>
      <c r="Y49" s="120"/>
      <c r="Z49" s="120"/>
      <c r="AA49" s="120"/>
      <c r="AB49" s="120"/>
      <c r="AC49" s="120"/>
      <c r="AD49" s="120"/>
      <c r="AE49" s="120"/>
    </row>
    <row r="50" spans="1:31">
      <c r="A50" s="141"/>
      <c r="B50" s="141"/>
      <c r="C50" s="325"/>
      <c r="D50" s="231"/>
      <c r="E50" s="120"/>
      <c r="F50" s="120"/>
      <c r="G50" s="120"/>
      <c r="H50" s="293" t="s">
        <v>171</v>
      </c>
      <c r="J50" s="120" t="s">
        <v>172</v>
      </c>
      <c r="K50" s="120"/>
      <c r="L50" s="120"/>
      <c r="M50" s="120"/>
      <c r="N50" s="120"/>
      <c r="O50" s="120"/>
      <c r="P50" s="120"/>
      <c r="Q50" s="120"/>
      <c r="R50" s="120"/>
      <c r="S50" s="120"/>
      <c r="T50" s="120"/>
      <c r="U50" s="120"/>
      <c r="V50" s="120"/>
      <c r="W50" s="120"/>
      <c r="X50" s="120"/>
      <c r="Y50" s="120"/>
      <c r="Z50" s="120"/>
      <c r="AA50" s="120"/>
      <c r="AB50" s="120"/>
      <c r="AC50" s="120"/>
      <c r="AD50" s="120"/>
      <c r="AE50" s="120"/>
    </row>
    <row r="51" spans="1:31">
      <c r="A51" s="141"/>
      <c r="B51" s="141"/>
      <c r="C51" s="325"/>
      <c r="D51" s="231"/>
      <c r="E51" s="120"/>
      <c r="F51" s="120"/>
      <c r="G51" s="120"/>
      <c r="H51" s="293"/>
      <c r="J51" s="120"/>
      <c r="K51" s="120"/>
      <c r="L51" s="120"/>
      <c r="M51" s="120"/>
      <c r="N51" s="120"/>
      <c r="O51" s="120"/>
      <c r="P51" s="120"/>
      <c r="Q51" s="120"/>
      <c r="R51" s="120"/>
      <c r="S51" s="120"/>
      <c r="T51" s="120"/>
      <c r="U51" s="120"/>
      <c r="V51" s="120"/>
      <c r="W51" s="120"/>
      <c r="X51" s="120"/>
      <c r="Y51" s="120"/>
      <c r="Z51" s="120"/>
      <c r="AA51" s="120"/>
      <c r="AB51" s="120"/>
      <c r="AC51" s="120"/>
      <c r="AD51" s="120"/>
      <c r="AE51" s="120"/>
    </row>
    <row r="52" spans="1:31">
      <c r="A52" s="141"/>
      <c r="B52" s="141" t="s">
        <v>173</v>
      </c>
      <c r="C52" s="325"/>
      <c r="D52" s="231"/>
      <c r="E52" s="120"/>
      <c r="F52" s="120"/>
      <c r="G52" s="120"/>
      <c r="H52" s="293"/>
      <c r="J52" s="293"/>
      <c r="K52" s="120"/>
      <c r="L52" s="120"/>
      <c r="M52" s="120"/>
      <c r="N52" s="120"/>
      <c r="O52" s="120"/>
      <c r="P52" s="120"/>
      <c r="Q52" s="120"/>
      <c r="R52" s="120"/>
      <c r="S52" s="120"/>
      <c r="T52" s="120"/>
      <c r="U52" s="120"/>
      <c r="V52" s="120"/>
      <c r="W52" s="120"/>
      <c r="X52" s="120"/>
      <c r="Y52" s="120"/>
      <c r="Z52" s="120"/>
      <c r="AA52" s="120"/>
      <c r="AB52" s="120"/>
      <c r="AC52" s="120"/>
      <c r="AD52" s="120"/>
      <c r="AE52" s="120"/>
    </row>
    <row r="53" spans="1:31">
      <c r="A53" s="141"/>
      <c r="B53" s="141"/>
      <c r="C53" s="325"/>
      <c r="D53" s="231"/>
      <c r="E53" s="120"/>
      <c r="F53" s="120"/>
      <c r="G53" s="120"/>
      <c r="H53" s="328" t="s">
        <v>174</v>
      </c>
      <c r="J53" s="293" t="s">
        <v>153</v>
      </c>
      <c r="K53" s="120"/>
      <c r="L53" s="120"/>
      <c r="M53" s="120"/>
      <c r="N53" s="120"/>
      <c r="O53" s="120"/>
      <c r="P53" s="120"/>
      <c r="Q53" s="120"/>
      <c r="R53" s="120"/>
      <c r="S53" s="120"/>
      <c r="T53" s="120"/>
      <c r="U53" s="120"/>
      <c r="V53" s="120"/>
      <c r="W53" s="120"/>
      <c r="X53" s="120"/>
      <c r="Y53" s="120"/>
      <c r="Z53" s="120"/>
      <c r="AA53" s="120"/>
      <c r="AB53" s="120"/>
      <c r="AC53" s="120"/>
      <c r="AD53" s="120"/>
      <c r="AE53" s="120"/>
    </row>
    <row r="54" spans="1:31">
      <c r="A54" s="141"/>
      <c r="B54" s="141"/>
      <c r="C54" s="325"/>
      <c r="D54" s="231"/>
      <c r="E54" s="120"/>
      <c r="F54" s="120"/>
      <c r="G54" s="120"/>
      <c r="H54" s="293"/>
      <c r="J54" s="293"/>
      <c r="K54" s="120"/>
      <c r="L54" s="120"/>
      <c r="M54" s="120"/>
      <c r="N54" s="120"/>
      <c r="O54" s="120"/>
      <c r="P54" s="120"/>
      <c r="Q54" s="120"/>
      <c r="R54" s="120"/>
      <c r="S54" s="120"/>
      <c r="T54" s="120"/>
      <c r="U54" s="120"/>
      <c r="V54" s="120"/>
      <c r="W54" s="120"/>
      <c r="X54" s="120"/>
      <c r="Y54" s="120"/>
      <c r="Z54" s="120"/>
      <c r="AA54" s="120"/>
      <c r="AB54" s="120"/>
      <c r="AC54" s="120"/>
      <c r="AD54" s="120"/>
      <c r="AE54" s="120"/>
    </row>
    <row r="55" spans="1:31">
      <c r="A55" s="141"/>
      <c r="B55" s="141"/>
      <c r="C55" s="325"/>
      <c r="D55" s="231"/>
      <c r="E55" s="120"/>
      <c r="F55" s="120"/>
      <c r="G55" s="120"/>
      <c r="H55" s="329" t="s">
        <v>175</v>
      </c>
      <c r="J55" s="293" t="s">
        <v>176</v>
      </c>
      <c r="K55" s="120"/>
      <c r="L55" s="120"/>
      <c r="M55" s="120"/>
      <c r="N55" s="120"/>
      <c r="O55" s="120"/>
      <c r="P55" s="120"/>
      <c r="Q55" s="120"/>
      <c r="R55" s="120"/>
      <c r="S55" s="120"/>
      <c r="T55" s="120"/>
      <c r="U55" s="120"/>
      <c r="V55" s="120"/>
      <c r="W55" s="120"/>
      <c r="X55" s="120"/>
      <c r="Y55" s="120"/>
      <c r="Z55" s="120"/>
      <c r="AA55" s="120"/>
      <c r="AB55" s="120"/>
      <c r="AC55" s="120"/>
      <c r="AD55" s="120"/>
      <c r="AE55" s="120"/>
    </row>
    <row r="56" spans="1:31">
      <c r="A56" s="141"/>
      <c r="B56" s="141"/>
      <c r="C56" s="325"/>
      <c r="D56" s="231"/>
      <c r="E56" s="120"/>
      <c r="F56" s="120"/>
      <c r="G56" s="120"/>
      <c r="H56" s="293"/>
      <c r="J56" s="120"/>
      <c r="K56" s="120"/>
      <c r="L56" s="120"/>
      <c r="M56" s="120"/>
      <c r="N56" s="120"/>
      <c r="O56" s="120"/>
      <c r="P56" s="120"/>
      <c r="Q56" s="120"/>
      <c r="R56" s="120"/>
      <c r="S56" s="120"/>
      <c r="T56" s="120"/>
      <c r="U56" s="120"/>
      <c r="V56" s="120"/>
      <c r="W56" s="120"/>
      <c r="X56" s="120"/>
      <c r="Y56" s="120"/>
      <c r="Z56" s="120"/>
      <c r="AA56" s="120"/>
      <c r="AB56" s="120"/>
      <c r="AC56" s="120"/>
      <c r="AD56" s="120"/>
      <c r="AE56" s="120"/>
    </row>
    <row r="57" spans="1:31">
      <c r="A57" s="141"/>
      <c r="B57" s="141"/>
      <c r="C57" s="325"/>
      <c r="D57" s="231"/>
      <c r="E57" s="120"/>
      <c r="F57" s="120"/>
      <c r="G57" s="120"/>
      <c r="H57" s="330" t="s">
        <v>177</v>
      </c>
      <c r="J57" s="293" t="s">
        <v>178</v>
      </c>
      <c r="K57" s="120"/>
      <c r="L57" s="120"/>
      <c r="M57" s="120"/>
      <c r="N57" s="120"/>
      <c r="O57" s="120"/>
      <c r="P57" s="120"/>
      <c r="Q57" s="120"/>
      <c r="R57" s="120"/>
      <c r="S57" s="120"/>
      <c r="T57" s="120"/>
      <c r="U57" s="120"/>
      <c r="V57" s="120"/>
      <c r="W57" s="120"/>
      <c r="X57" s="120"/>
      <c r="Y57" s="120"/>
      <c r="Z57" s="120"/>
      <c r="AA57" s="120"/>
      <c r="AB57" s="120"/>
      <c r="AC57" s="120"/>
      <c r="AD57" s="120"/>
      <c r="AE57" s="120"/>
    </row>
    <row r="58" spans="1:31">
      <c r="A58" s="141"/>
      <c r="B58" s="141"/>
      <c r="C58" s="325"/>
      <c r="D58" s="231"/>
      <c r="E58" s="120"/>
      <c r="F58" s="120"/>
      <c r="G58" s="120"/>
      <c r="H58" s="293"/>
      <c r="J58" s="293"/>
      <c r="K58" s="120"/>
      <c r="L58" s="120"/>
      <c r="M58" s="120"/>
      <c r="N58" s="120"/>
      <c r="O58" s="120"/>
      <c r="P58" s="120"/>
      <c r="Q58" s="120"/>
      <c r="R58" s="120"/>
      <c r="S58" s="120"/>
      <c r="T58" s="120"/>
      <c r="U58" s="120"/>
      <c r="V58" s="120"/>
      <c r="W58" s="120"/>
      <c r="X58" s="120"/>
      <c r="Y58" s="120"/>
      <c r="Z58" s="120"/>
      <c r="AA58" s="120"/>
      <c r="AB58" s="120"/>
      <c r="AC58" s="120"/>
      <c r="AD58" s="120"/>
      <c r="AE58" s="120"/>
    </row>
    <row r="59" spans="1:31">
      <c r="A59" s="141"/>
      <c r="B59" s="141"/>
      <c r="C59" s="325"/>
      <c r="D59" s="231"/>
      <c r="E59" s="120"/>
      <c r="F59" s="120"/>
      <c r="G59" s="120"/>
      <c r="H59" s="329" t="s">
        <v>179</v>
      </c>
      <c r="J59" s="293" t="s">
        <v>180</v>
      </c>
      <c r="K59" s="120"/>
      <c r="L59" s="120"/>
      <c r="M59" s="120"/>
      <c r="N59" s="120"/>
      <c r="O59" s="120"/>
      <c r="P59" s="120"/>
      <c r="Q59" s="120"/>
      <c r="R59" s="120"/>
      <c r="S59" s="120"/>
      <c r="T59" s="120"/>
      <c r="U59" s="120"/>
      <c r="V59" s="120"/>
      <c r="W59" s="120"/>
      <c r="X59" s="120"/>
      <c r="Y59" s="120"/>
      <c r="Z59" s="120"/>
      <c r="AA59" s="120"/>
      <c r="AB59" s="120"/>
      <c r="AC59" s="120"/>
      <c r="AD59" s="120"/>
      <c r="AE59" s="120"/>
    </row>
    <row r="60" spans="1:31">
      <c r="A60" s="141"/>
      <c r="B60" s="141"/>
      <c r="C60" s="325"/>
      <c r="D60" s="231"/>
      <c r="E60" s="120"/>
      <c r="F60" s="120"/>
      <c r="G60" s="120"/>
      <c r="H60" s="119"/>
      <c r="J60" s="293"/>
      <c r="K60" s="120"/>
      <c r="L60" s="120"/>
      <c r="M60" s="120"/>
      <c r="N60" s="120"/>
      <c r="O60" s="120"/>
      <c r="P60" s="120"/>
      <c r="Q60" s="120"/>
      <c r="R60" s="120"/>
      <c r="S60" s="120"/>
      <c r="T60" s="120"/>
      <c r="U60" s="120"/>
      <c r="V60" s="120"/>
      <c r="W60" s="120"/>
      <c r="X60" s="120"/>
      <c r="Y60" s="120"/>
      <c r="Z60" s="120"/>
      <c r="AA60" s="120"/>
      <c r="AB60" s="120"/>
      <c r="AC60" s="120"/>
      <c r="AD60" s="120"/>
      <c r="AE60" s="120"/>
    </row>
    <row r="61" spans="1:31">
      <c r="A61" s="141"/>
      <c r="B61" s="141" t="s">
        <v>181</v>
      </c>
      <c r="C61" s="325"/>
      <c r="D61" s="231"/>
      <c r="E61" s="120"/>
      <c r="F61" s="120"/>
      <c r="G61" s="120"/>
      <c r="H61" s="293"/>
      <c r="J61" s="293"/>
      <c r="K61" s="120"/>
      <c r="L61" s="120"/>
      <c r="M61" s="120"/>
      <c r="N61" s="120"/>
      <c r="O61" s="120"/>
      <c r="P61" s="120"/>
      <c r="Q61" s="120"/>
      <c r="R61" s="120"/>
      <c r="S61" s="120"/>
      <c r="T61" s="120"/>
      <c r="U61" s="120"/>
      <c r="V61" s="120"/>
      <c r="W61" s="120"/>
      <c r="X61" s="120"/>
      <c r="Y61" s="120"/>
      <c r="Z61" s="120"/>
      <c r="AA61" s="120"/>
      <c r="AB61" s="120"/>
      <c r="AC61" s="120"/>
      <c r="AD61" s="120"/>
      <c r="AE61" s="120"/>
    </row>
    <row r="62" spans="1:31">
      <c r="A62" s="141"/>
      <c r="B62" s="141"/>
      <c r="C62" s="325"/>
      <c r="D62" s="231"/>
      <c r="E62" s="120"/>
      <c r="F62" s="120"/>
      <c r="G62" s="120"/>
      <c r="H62" s="331" t="s">
        <v>182</v>
      </c>
      <c r="J62" s="293" t="s">
        <v>183</v>
      </c>
      <c r="K62" s="120"/>
      <c r="L62" s="120"/>
      <c r="M62" s="120"/>
      <c r="N62" s="120"/>
      <c r="O62" s="120"/>
      <c r="P62" s="120"/>
      <c r="Q62" s="120"/>
      <c r="R62" s="120"/>
      <c r="S62" s="120"/>
      <c r="T62" s="120"/>
      <c r="U62" s="120"/>
      <c r="V62" s="120"/>
      <c r="W62" s="120"/>
      <c r="X62" s="120"/>
      <c r="Y62" s="120"/>
      <c r="Z62" s="120"/>
      <c r="AA62" s="120"/>
      <c r="AB62" s="120"/>
      <c r="AC62" s="120"/>
      <c r="AD62" s="120"/>
      <c r="AE62" s="120"/>
    </row>
    <row r="63" spans="1:31">
      <c r="A63" s="141"/>
      <c r="B63" s="141"/>
      <c r="C63" s="325"/>
      <c r="D63" s="231"/>
      <c r="E63" s="120"/>
      <c r="F63" s="120"/>
      <c r="G63" s="120"/>
      <c r="H63" s="120"/>
      <c r="J63" s="293"/>
      <c r="K63" s="120"/>
      <c r="L63" s="120"/>
      <c r="M63" s="120"/>
      <c r="N63" s="120"/>
      <c r="O63" s="120"/>
      <c r="P63" s="120"/>
      <c r="Q63" s="120"/>
      <c r="R63" s="120"/>
      <c r="S63" s="120"/>
      <c r="T63" s="120"/>
      <c r="U63" s="120"/>
      <c r="V63" s="120"/>
      <c r="W63" s="120"/>
      <c r="X63" s="120"/>
      <c r="Y63" s="120"/>
      <c r="Z63" s="120"/>
      <c r="AA63" s="120"/>
      <c r="AB63" s="120"/>
      <c r="AC63" s="120"/>
      <c r="AD63" s="120"/>
      <c r="AE63" s="120"/>
    </row>
    <row r="64" spans="1:31">
      <c r="A64" s="141"/>
      <c r="B64" s="141"/>
      <c r="C64" s="325"/>
      <c r="D64" s="231"/>
      <c r="E64" s="120"/>
      <c r="F64" s="120"/>
      <c r="G64" s="120"/>
      <c r="H64" s="332" t="s">
        <v>184</v>
      </c>
      <c r="I64" s="293"/>
      <c r="J64" s="119" t="s">
        <v>185</v>
      </c>
      <c r="K64" s="120"/>
      <c r="L64" s="120"/>
      <c r="M64" s="120"/>
      <c r="N64" s="120"/>
      <c r="O64" s="120"/>
      <c r="P64" s="120"/>
      <c r="Q64" s="120"/>
      <c r="R64" s="120"/>
      <c r="S64" s="120"/>
      <c r="T64" s="120"/>
      <c r="U64" s="120"/>
      <c r="V64" s="120"/>
      <c r="W64" s="120"/>
      <c r="X64" s="120"/>
      <c r="Y64" s="120"/>
      <c r="Z64" s="120"/>
      <c r="AA64" s="120"/>
      <c r="AB64" s="120"/>
      <c r="AC64" s="120"/>
      <c r="AD64" s="120"/>
      <c r="AE64" s="120"/>
    </row>
    <row r="65" spans="1:31">
      <c r="A65" s="141"/>
      <c r="B65" s="141"/>
      <c r="C65" s="325"/>
      <c r="D65" s="231"/>
      <c r="E65" s="120"/>
      <c r="F65" s="120"/>
      <c r="G65" s="120"/>
      <c r="H65" s="293"/>
      <c r="J65" s="293"/>
      <c r="K65" s="120"/>
      <c r="L65" s="120"/>
      <c r="M65" s="120"/>
      <c r="N65" s="120"/>
      <c r="O65" s="120"/>
      <c r="P65" s="120"/>
      <c r="Q65" s="120"/>
      <c r="R65" s="120"/>
      <c r="S65" s="120"/>
      <c r="T65" s="120"/>
      <c r="U65" s="120"/>
      <c r="V65" s="120"/>
      <c r="W65" s="120"/>
      <c r="X65" s="120"/>
      <c r="Y65" s="120"/>
      <c r="Z65" s="120"/>
      <c r="AA65" s="120"/>
      <c r="AB65" s="120"/>
      <c r="AC65" s="120"/>
      <c r="AD65" s="120"/>
      <c r="AE65" s="120"/>
    </row>
    <row r="66" spans="1:31">
      <c r="A66" s="141"/>
      <c r="B66" s="141"/>
      <c r="C66" s="325"/>
      <c r="D66" s="231"/>
      <c r="E66" s="120"/>
      <c r="F66" s="120"/>
      <c r="G66" s="120"/>
      <c r="H66" s="333" t="s">
        <v>186</v>
      </c>
      <c r="J66" s="293" t="s">
        <v>187</v>
      </c>
      <c r="K66" s="120"/>
      <c r="L66" s="120"/>
      <c r="M66" s="120"/>
      <c r="N66" s="120"/>
      <c r="O66" s="120"/>
      <c r="P66" s="120"/>
      <c r="Q66" s="120"/>
      <c r="R66" s="120"/>
      <c r="S66" s="120"/>
      <c r="T66" s="120"/>
      <c r="U66" s="120"/>
      <c r="V66" s="120"/>
      <c r="W66" s="120"/>
      <c r="X66" s="120"/>
      <c r="Y66" s="120"/>
      <c r="Z66" s="120"/>
      <c r="AA66" s="120"/>
      <c r="AB66" s="120"/>
      <c r="AC66" s="120"/>
      <c r="AD66" s="120"/>
      <c r="AE66" s="120"/>
    </row>
    <row r="67" spans="1:31">
      <c r="A67" s="141"/>
      <c r="B67" s="141"/>
      <c r="C67" s="325"/>
      <c r="D67" s="231"/>
      <c r="E67" s="120"/>
      <c r="F67" s="120"/>
      <c r="G67" s="120"/>
      <c r="H67" s="120"/>
      <c r="J67" s="293"/>
      <c r="K67" s="120"/>
      <c r="L67" s="120"/>
      <c r="M67" s="120"/>
      <c r="N67" s="120"/>
      <c r="O67" s="120"/>
      <c r="P67" s="120"/>
      <c r="Q67" s="120"/>
      <c r="R67" s="120"/>
      <c r="S67" s="120"/>
      <c r="T67" s="120"/>
      <c r="U67" s="120"/>
      <c r="V67" s="120"/>
      <c r="W67" s="120"/>
      <c r="X67" s="120"/>
      <c r="Y67" s="120"/>
      <c r="Z67" s="120"/>
      <c r="AA67" s="120"/>
      <c r="AB67" s="120"/>
      <c r="AC67" s="120"/>
      <c r="AD67" s="120"/>
      <c r="AE67" s="120"/>
    </row>
    <row r="68" spans="1:31">
      <c r="A68" s="141"/>
      <c r="B68" s="141"/>
      <c r="C68" s="325"/>
      <c r="D68" s="231"/>
      <c r="E68" s="120"/>
      <c r="F68" s="120"/>
      <c r="G68" s="120"/>
      <c r="H68" s="334" t="s">
        <v>188</v>
      </c>
      <c r="J68" s="293" t="s">
        <v>189</v>
      </c>
      <c r="K68" s="120"/>
      <c r="L68" s="120"/>
      <c r="M68" s="120"/>
      <c r="N68" s="120"/>
      <c r="O68" s="120"/>
      <c r="P68" s="120"/>
      <c r="Q68" s="120"/>
      <c r="R68" s="120"/>
      <c r="S68" s="120"/>
      <c r="T68" s="120"/>
      <c r="U68" s="120"/>
      <c r="V68" s="120"/>
      <c r="W68" s="120"/>
      <c r="X68" s="120"/>
      <c r="Y68" s="120"/>
      <c r="Z68" s="120"/>
      <c r="AA68" s="120"/>
      <c r="AB68" s="120"/>
      <c r="AC68" s="120"/>
      <c r="AD68" s="120"/>
      <c r="AE68" s="120"/>
    </row>
    <row r="69" spans="1:31">
      <c r="B69" s="22"/>
      <c r="C69" s="226"/>
      <c r="D69" s="149"/>
      <c r="H69" s="120"/>
    </row>
    <row r="70" spans="1:31">
      <c r="B70" s="22"/>
      <c r="C70" s="226"/>
      <c r="D70" s="149"/>
      <c r="H70" s="335" t="s">
        <v>190</v>
      </c>
      <c r="J70" s="293" t="s">
        <v>191</v>
      </c>
    </row>
    <row r="71" spans="1:31">
      <c r="B71" s="22"/>
      <c r="C71" s="226"/>
      <c r="D71" s="149"/>
      <c r="H71" s="120"/>
    </row>
    <row r="72" spans="1:31">
      <c r="A72" s="141"/>
      <c r="B72" s="141" t="s">
        <v>192</v>
      </c>
      <c r="C72" s="325"/>
      <c r="D72" s="231"/>
      <c r="E72" s="120"/>
      <c r="F72" s="120"/>
      <c r="G72" s="120"/>
      <c r="H72" s="293"/>
      <c r="J72" s="293"/>
      <c r="K72" s="120"/>
      <c r="L72" s="120"/>
      <c r="M72" s="120"/>
      <c r="N72" s="120"/>
      <c r="O72" s="120"/>
      <c r="P72" s="120"/>
      <c r="Q72" s="120"/>
      <c r="R72" s="120"/>
      <c r="S72" s="120"/>
      <c r="T72" s="120"/>
      <c r="U72" s="120"/>
      <c r="V72" s="120"/>
      <c r="W72" s="120"/>
      <c r="X72" s="120"/>
      <c r="Y72" s="120"/>
      <c r="Z72" s="120"/>
      <c r="AA72" s="120"/>
      <c r="AB72" s="120"/>
      <c r="AC72" s="120"/>
      <c r="AD72" s="120"/>
      <c r="AE72" s="120"/>
    </row>
    <row r="73" spans="1:31">
      <c r="A73" s="141"/>
      <c r="B73" s="141"/>
      <c r="C73" s="325"/>
      <c r="D73" s="231"/>
      <c r="E73" s="120"/>
      <c r="F73" s="120"/>
      <c r="G73" s="120"/>
      <c r="H73" s="336" t="s">
        <v>193</v>
      </c>
      <c r="J73" s="293" t="s">
        <v>194</v>
      </c>
      <c r="K73" s="120"/>
      <c r="L73" s="120"/>
      <c r="M73" s="120"/>
      <c r="N73" s="120"/>
      <c r="O73" s="120"/>
      <c r="P73" s="120"/>
      <c r="Q73" s="120"/>
      <c r="R73" s="120"/>
      <c r="S73" s="120"/>
      <c r="T73" s="120"/>
      <c r="U73" s="120"/>
      <c r="V73" s="120"/>
      <c r="W73" s="120"/>
      <c r="X73" s="120"/>
      <c r="Y73" s="120"/>
      <c r="Z73" s="120"/>
      <c r="AA73" s="120"/>
      <c r="AB73" s="120"/>
      <c r="AC73" s="120"/>
      <c r="AD73" s="120"/>
      <c r="AE73" s="120"/>
    </row>
    <row r="74" spans="1:31">
      <c r="A74" s="141"/>
      <c r="B74" s="141"/>
      <c r="C74" s="325"/>
      <c r="D74" s="231"/>
      <c r="E74" s="120"/>
      <c r="F74" s="120"/>
      <c r="G74" s="120"/>
      <c r="H74" s="120"/>
      <c r="J74" s="293"/>
      <c r="K74" s="120"/>
      <c r="L74" s="120"/>
      <c r="M74" s="120"/>
      <c r="N74" s="120"/>
      <c r="O74" s="120"/>
      <c r="P74" s="120"/>
      <c r="Q74" s="120"/>
      <c r="R74" s="120"/>
      <c r="S74" s="120"/>
      <c r="T74" s="120"/>
      <c r="U74" s="120"/>
      <c r="V74" s="120"/>
      <c r="W74" s="120"/>
      <c r="X74" s="120"/>
      <c r="Y74" s="120"/>
      <c r="Z74" s="120"/>
      <c r="AA74" s="120"/>
      <c r="AB74" s="120"/>
      <c r="AC74" s="120"/>
      <c r="AD74" s="120"/>
      <c r="AE74" s="120"/>
    </row>
    <row r="75" spans="1:31">
      <c r="A75" s="141"/>
      <c r="B75" s="141"/>
      <c r="C75" s="325"/>
      <c r="D75" s="231"/>
      <c r="E75" s="120"/>
      <c r="F75" s="120"/>
      <c r="G75" s="120"/>
      <c r="H75" s="337" t="s">
        <v>195</v>
      </c>
      <c r="J75" s="293" t="s">
        <v>196</v>
      </c>
      <c r="K75" s="120"/>
      <c r="L75" s="120"/>
      <c r="M75" s="120"/>
      <c r="N75" s="120"/>
      <c r="O75" s="120"/>
      <c r="P75" s="120"/>
      <c r="Q75" s="120"/>
      <c r="R75" s="120"/>
      <c r="S75" s="120"/>
      <c r="T75" s="120"/>
      <c r="U75" s="120"/>
      <c r="V75" s="120"/>
      <c r="W75" s="120"/>
      <c r="X75" s="120"/>
      <c r="Y75" s="120"/>
      <c r="Z75" s="120"/>
      <c r="AA75" s="120"/>
      <c r="AB75" s="120"/>
      <c r="AC75" s="120"/>
      <c r="AD75" s="120"/>
      <c r="AE75" s="120"/>
    </row>
    <row r="76" spans="1:31">
      <c r="A76" s="141"/>
      <c r="B76" s="141"/>
      <c r="C76" s="325"/>
      <c r="D76" s="231"/>
      <c r="E76" s="120"/>
      <c r="F76" s="120"/>
      <c r="G76" s="120"/>
      <c r="H76" s="293"/>
      <c r="J76" s="293"/>
      <c r="K76" s="120"/>
      <c r="L76" s="120"/>
      <c r="M76" s="120"/>
      <c r="N76" s="120"/>
      <c r="O76" s="120"/>
      <c r="P76" s="120"/>
      <c r="Q76" s="120"/>
      <c r="R76" s="120"/>
      <c r="S76" s="120"/>
      <c r="T76" s="120"/>
      <c r="U76" s="120"/>
      <c r="V76" s="120"/>
      <c r="W76" s="120"/>
      <c r="X76" s="120"/>
      <c r="Y76" s="120"/>
      <c r="Z76" s="120"/>
      <c r="AA76" s="120"/>
      <c r="AB76" s="120"/>
      <c r="AC76" s="120"/>
      <c r="AD76" s="120"/>
      <c r="AE76" s="120"/>
    </row>
    <row r="77" spans="1:31">
      <c r="A77" s="141"/>
      <c r="B77" s="141"/>
      <c r="C77" s="325"/>
      <c r="D77" s="231"/>
      <c r="E77" s="120"/>
      <c r="F77" s="120"/>
      <c r="G77" s="120"/>
      <c r="H77" s="338" t="s">
        <v>197</v>
      </c>
      <c r="J77" s="293" t="s">
        <v>198</v>
      </c>
      <c r="K77" s="120"/>
      <c r="L77" s="120"/>
      <c r="M77" s="120"/>
      <c r="N77" s="120"/>
      <c r="O77" s="120"/>
      <c r="P77" s="120"/>
      <c r="Q77" s="120"/>
      <c r="R77" s="120"/>
      <c r="S77" s="120"/>
      <c r="T77" s="120"/>
      <c r="U77" s="120"/>
      <c r="V77" s="120"/>
      <c r="W77" s="120"/>
      <c r="X77" s="120"/>
      <c r="Y77" s="120"/>
      <c r="Z77" s="120"/>
      <c r="AA77" s="120"/>
      <c r="AB77" s="120"/>
      <c r="AC77" s="120"/>
      <c r="AD77" s="120"/>
      <c r="AE77" s="120"/>
    </row>
    <row r="78" spans="1:31">
      <c r="B78" s="11"/>
      <c r="C78" s="12"/>
      <c r="E78" s="320"/>
      <c r="G78" s="320"/>
      <c r="H78" s="119"/>
    </row>
    <row r="79" spans="1:31" s="382" customFormat="1" ht="15" customHeight="1">
      <c r="A79" s="15" t="s">
        <v>199</v>
      </c>
      <c r="B79" s="15"/>
      <c r="C79" s="381"/>
      <c r="D79" s="135"/>
      <c r="E79" s="15"/>
      <c r="F79" s="15"/>
      <c r="G79" s="15"/>
      <c r="H79" s="15"/>
      <c r="I79" s="15"/>
      <c r="J79" s="15"/>
      <c r="K79" s="15"/>
      <c r="L79" s="15"/>
      <c r="M79" s="15"/>
      <c r="N79" s="15"/>
      <c r="O79" s="15"/>
      <c r="P79" s="15"/>
      <c r="Q79" s="15"/>
      <c r="R79" s="15"/>
      <c r="S79" s="15"/>
      <c r="T79" s="15"/>
      <c r="U79" s="15"/>
      <c r="V79" s="15"/>
      <c r="W79" s="15"/>
      <c r="X79" s="381"/>
      <c r="Y79" s="15"/>
      <c r="Z79" s="15"/>
      <c r="AA79" s="15"/>
      <c r="AB79" s="381"/>
      <c r="AC79" s="381"/>
      <c r="AD79" s="381"/>
      <c r="AE79" s="381"/>
    </row>
    <row r="80" spans="1:31">
      <c r="B80" s="22"/>
      <c r="C80" s="226"/>
      <c r="D80" s="149"/>
      <c r="H80" s="119"/>
    </row>
    <row r="81" spans="2:9">
      <c r="B81" s="22"/>
      <c r="C81" s="226"/>
      <c r="D81" s="149"/>
      <c r="H81" s="119" t="s">
        <v>60</v>
      </c>
      <c r="I81" s="119" t="s">
        <v>200</v>
      </c>
    </row>
    <row r="82" spans="2:9">
      <c r="B82" s="22"/>
      <c r="C82" s="226"/>
      <c r="D82" s="149"/>
      <c r="H82" s="119" t="s">
        <v>201</v>
      </c>
      <c r="I82" s="119" t="s">
        <v>202</v>
      </c>
    </row>
    <row r="83" spans="2:9">
      <c r="B83" s="22"/>
      <c r="C83" s="226"/>
      <c r="D83" s="149"/>
      <c r="H83" s="119" t="s">
        <v>203</v>
      </c>
      <c r="I83" s="119" t="s">
        <v>56</v>
      </c>
    </row>
    <row r="84" spans="2:9">
      <c r="B84" s="22"/>
      <c r="C84" s="226"/>
      <c r="D84" s="149"/>
      <c r="H84" s="119" t="s">
        <v>204</v>
      </c>
      <c r="I84" s="119" t="s">
        <v>205</v>
      </c>
    </row>
    <row r="85" spans="2:9">
      <c r="B85" s="22"/>
      <c r="C85" s="226"/>
      <c r="D85" s="149"/>
      <c r="G85" s="311"/>
      <c r="H85" s="119" t="s">
        <v>206</v>
      </c>
      <c r="I85" s="119" t="s">
        <v>207</v>
      </c>
    </row>
    <row r="86" spans="2:9">
      <c r="B86" s="22"/>
      <c r="C86" s="226"/>
      <c r="D86" s="149"/>
      <c r="H86" s="119" t="s">
        <v>208</v>
      </c>
      <c r="I86" s="119" t="s">
        <v>209</v>
      </c>
    </row>
    <row r="87" spans="2:9">
      <c r="B87" s="22"/>
      <c r="C87" s="226"/>
      <c r="D87" s="149"/>
      <c r="H87" s="119" t="s">
        <v>210</v>
      </c>
      <c r="I87" s="311" t="s">
        <v>211</v>
      </c>
    </row>
    <row r="88" spans="2:9">
      <c r="B88" s="22"/>
      <c r="C88" s="226"/>
      <c r="D88" s="149"/>
      <c r="H88" s="119" t="s">
        <v>212</v>
      </c>
      <c r="I88" s="119" t="s">
        <v>213</v>
      </c>
    </row>
    <row r="89" spans="2:9">
      <c r="B89" s="22"/>
      <c r="C89" s="226"/>
      <c r="D89" s="149"/>
      <c r="H89" s="119" t="s">
        <v>214</v>
      </c>
      <c r="I89" s="119" t="s">
        <v>215</v>
      </c>
    </row>
    <row r="90" spans="2:9">
      <c r="B90" s="22"/>
      <c r="C90" s="226"/>
      <c r="D90" s="149"/>
      <c r="G90" s="311"/>
      <c r="H90" s="119" t="s">
        <v>216</v>
      </c>
      <c r="I90" s="311" t="s">
        <v>217</v>
      </c>
    </row>
    <row r="91" spans="2:9">
      <c r="B91" s="22"/>
      <c r="C91" s="226"/>
      <c r="D91" s="149"/>
      <c r="H91" s="119" t="s">
        <v>25</v>
      </c>
      <c r="I91" s="119" t="s">
        <v>218</v>
      </c>
    </row>
    <row r="92" spans="2:9">
      <c r="B92" s="22"/>
      <c r="C92" s="226"/>
      <c r="D92" s="149"/>
      <c r="H92" s="119" t="s">
        <v>23</v>
      </c>
      <c r="I92" s="119" t="s">
        <v>219</v>
      </c>
    </row>
    <row r="93" spans="2:9">
      <c r="B93" s="22"/>
      <c r="C93" s="226"/>
      <c r="D93" s="149"/>
      <c r="H93" s="119" t="s">
        <v>220</v>
      </c>
      <c r="I93" s="311" t="s">
        <v>221</v>
      </c>
    </row>
    <row r="94" spans="2:9">
      <c r="B94" s="22"/>
      <c r="C94" s="226"/>
      <c r="D94" s="149"/>
      <c r="H94" s="119" t="s">
        <v>222</v>
      </c>
      <c r="I94" s="311" t="s">
        <v>223</v>
      </c>
    </row>
    <row r="95" spans="2:9">
      <c r="B95" s="22"/>
      <c r="C95" s="226"/>
      <c r="D95" s="149"/>
      <c r="H95" s="119" t="s">
        <v>224</v>
      </c>
      <c r="I95" s="119" t="s">
        <v>54</v>
      </c>
    </row>
    <row r="96" spans="2:9">
      <c r="B96" s="22"/>
      <c r="C96" s="226"/>
      <c r="D96" s="149"/>
      <c r="H96" s="119" t="s">
        <v>225</v>
      </c>
      <c r="I96" s="311" t="s">
        <v>226</v>
      </c>
    </row>
    <row r="97" spans="1:31">
      <c r="B97" s="22"/>
      <c r="C97" s="226"/>
      <c r="D97" s="149"/>
      <c r="H97" s="119" t="s">
        <v>227</v>
      </c>
      <c r="I97" s="119" t="s">
        <v>53</v>
      </c>
    </row>
    <row r="98" spans="1:31">
      <c r="B98" s="22"/>
      <c r="C98" s="226"/>
      <c r="D98" s="149"/>
      <c r="H98" s="119" t="s">
        <v>228</v>
      </c>
      <c r="I98" s="119" t="s">
        <v>229</v>
      </c>
    </row>
    <row r="100" spans="1:31" s="382" customFormat="1" ht="15" customHeight="1">
      <c r="A100" s="15" t="s">
        <v>230</v>
      </c>
      <c r="B100" s="15"/>
      <c r="C100" s="381"/>
      <c r="D100" s="135"/>
      <c r="E100" s="15"/>
      <c r="F100" s="15"/>
      <c r="G100" s="15"/>
      <c r="H100" s="15"/>
      <c r="I100" s="15"/>
      <c r="J100" s="15"/>
      <c r="K100" s="15"/>
      <c r="L100" s="15"/>
      <c r="M100" s="15"/>
      <c r="N100" s="15"/>
      <c r="O100" s="15"/>
      <c r="P100" s="15"/>
      <c r="Q100" s="15"/>
      <c r="R100" s="15"/>
      <c r="S100" s="15"/>
      <c r="T100" s="15"/>
      <c r="U100" s="15"/>
      <c r="V100" s="15"/>
      <c r="W100" s="15"/>
      <c r="X100" s="381"/>
      <c r="Y100" s="15"/>
      <c r="Z100" s="15"/>
      <c r="AA100" s="15"/>
      <c r="AB100" s="381"/>
      <c r="AC100" s="381"/>
      <c r="AD100" s="381"/>
      <c r="AE100" s="381"/>
    </row>
    <row r="102" spans="1:31">
      <c r="B102" s="11" t="s">
        <v>231</v>
      </c>
    </row>
    <row r="103" spans="1:31">
      <c r="H103" s="168" t="s">
        <v>231</v>
      </c>
      <c r="L103" s="119" t="s">
        <v>232</v>
      </c>
    </row>
    <row r="104" spans="1:31">
      <c r="L104" s="119" t="s">
        <v>233</v>
      </c>
    </row>
    <row r="105" spans="1:31">
      <c r="L105" s="405" t="s">
        <v>283</v>
      </c>
    </row>
    <row r="107" spans="1:31">
      <c r="B107" s="11" t="s">
        <v>234</v>
      </c>
    </row>
    <row r="108" spans="1:31">
      <c r="H108" s="168" t="s">
        <v>234</v>
      </c>
      <c r="L108" s="119" t="s">
        <v>255</v>
      </c>
    </row>
    <row r="112" spans="1:31">
      <c r="L112" s="32"/>
    </row>
    <row r="113" spans="1:6" s="38" customFormat="1">
      <c r="A113" s="38" t="s">
        <v>6</v>
      </c>
      <c r="C113" s="39"/>
      <c r="D113" s="162"/>
      <c r="E113" s="39"/>
      <c r="F113" s="41"/>
    </row>
  </sheetData>
  <hyperlinks>
    <hyperlink ref="L105" location="Track!A1" display="Goto macro" xr:uid="{00000000-0004-0000-0200-000000000000}"/>
  </hyperlinks>
  <pageMargins left="0.70866141732283472" right="0.70866141732283472" top="0.74803149606299213" bottom="0.74803149606299213" header="0.31496062992125984" footer="0.31496062992125984"/>
  <pageSetup paperSize="9" scale="35" orientation="portrait" r:id="rId1"/>
  <headerFooter>
    <oddHeader>&amp;LPage &amp;P of &amp;N&amp;CSheet:&amp;A</oddHeader>
    <oddFooter>&amp;L&amp;F ( Printed on &amp;D at &amp;T )&amp;ROFWAT</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649" r:id="rId4" name="Button 1">
              <controlPr defaultSize="0" print="0" autoFill="0" autoPict="0" macro="[0]!PRINT_SHEET">
                <anchor moveWithCells="1" sizeWithCells="1">
                  <from>
                    <xdr:col>11</xdr:col>
                    <xdr:colOff>60960</xdr:colOff>
                    <xdr:row>109</xdr:row>
                    <xdr:rowOff>99060</xdr:rowOff>
                  </from>
                  <to>
                    <xdr:col>13</xdr:col>
                    <xdr:colOff>30480</xdr:colOff>
                    <xdr:row>111</xdr:row>
                    <xdr:rowOff>114300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3">
    <tabColor rgb="FFC0C0C0"/>
    <pageSetUpPr fitToPage="1"/>
  </sheetPr>
  <dimension ref="A1:AR122"/>
  <sheetViews>
    <sheetView showGridLines="0" defaultGridColor="0" colorId="22" zoomScale="80" zoomScaleNormal="80" workbookViewId="0">
      <pane ySplit="1" topLeftCell="A2" activePane="bottomLeft" state="frozen"/>
      <selection pane="bottomLeft" activeCell="H39" sqref="H39"/>
    </sheetView>
  </sheetViews>
  <sheetFormatPr defaultColWidth="0" defaultRowHeight="13.2"/>
  <cols>
    <col min="1" max="1" width="1.21875" style="11" customWidth="1"/>
    <col min="2" max="4" width="1.21875" style="119" customWidth="1"/>
    <col min="5" max="5" width="2.77734375" style="119" customWidth="1"/>
    <col min="6" max="6" width="4.77734375" style="119" customWidth="1"/>
    <col min="7" max="7" width="2.77734375" style="119" customWidth="1"/>
    <col min="8" max="8" width="30.77734375" style="319" customWidth="1"/>
    <col min="9" max="9" width="2.77734375" style="119" customWidth="1"/>
    <col min="10" max="10" width="4.77734375" style="119" customWidth="1"/>
    <col min="11" max="11" width="5.21875" style="119" customWidth="1"/>
    <col min="12" max="12" width="30.77734375" style="119" customWidth="1"/>
    <col min="13" max="13" width="2.77734375" style="119" customWidth="1"/>
    <col min="14" max="14" width="4.77734375" style="119" customWidth="1"/>
    <col min="15" max="16" width="2.77734375" style="119" customWidth="1"/>
    <col min="17" max="17" width="30.77734375" style="119" customWidth="1"/>
    <col min="18" max="19" width="2.77734375" style="119" customWidth="1"/>
    <col min="20" max="20" width="4.77734375" style="119" customWidth="1"/>
    <col min="21" max="21" width="2.77734375" style="119" customWidth="1"/>
    <col min="22" max="22" width="30.77734375" style="119" customWidth="1"/>
    <col min="23" max="23" width="2.77734375" style="119" customWidth="1"/>
    <col min="24" max="24" width="4.77734375" style="119" customWidth="1"/>
    <col min="25" max="25" width="2.77734375" style="119" customWidth="1"/>
    <col min="26" max="26" width="37.21875" style="119" customWidth="1"/>
    <col min="27" max="27" width="2.77734375" style="119" customWidth="1"/>
    <col min="28" max="28" width="4.77734375" style="119" customWidth="1"/>
    <col min="29" max="30" width="2.77734375" style="119" customWidth="1"/>
    <col min="31" max="31" width="20.44140625" style="119" customWidth="1"/>
    <col min="32" max="44" width="0" style="119" hidden="1" customWidth="1"/>
    <col min="45" max="16384" width="9.21875" style="119" hidden="1"/>
  </cols>
  <sheetData>
    <row r="1" spans="1:31" ht="24.6">
      <c r="A1" s="303" t="str">
        <f ca="1" xml:space="preserve"> RIGHT(CELL("filename", $A$1), LEN(CELL("filename", $A$1)) - SEARCH("]", CELL("filename", $A$1)))</f>
        <v>Model Design</v>
      </c>
      <c r="B1" s="303"/>
      <c r="C1" s="303"/>
      <c r="D1" s="303"/>
      <c r="E1" s="303"/>
      <c r="F1" s="303"/>
      <c r="G1" s="303"/>
      <c r="H1" s="304"/>
    </row>
    <row r="3" spans="1:31" s="382" customFormat="1" ht="15" customHeight="1">
      <c r="A3" s="15" t="s">
        <v>401</v>
      </c>
      <c r="B3" s="15"/>
      <c r="C3" s="381"/>
      <c r="D3" s="135"/>
      <c r="E3" s="15"/>
      <c r="F3" s="15"/>
      <c r="G3" s="15"/>
      <c r="H3" s="15"/>
      <c r="I3" s="15"/>
      <c r="J3" s="15"/>
      <c r="K3" s="15"/>
      <c r="L3" s="15"/>
      <c r="M3" s="15"/>
      <c r="N3" s="15"/>
      <c r="O3" s="15"/>
      <c r="P3" s="15"/>
      <c r="Q3" s="15"/>
      <c r="R3" s="15"/>
      <c r="S3" s="15"/>
      <c r="T3" s="15"/>
      <c r="U3" s="15"/>
      <c r="V3" s="15"/>
      <c r="W3" s="15"/>
      <c r="X3" s="381"/>
      <c r="Y3" s="15"/>
      <c r="Z3" s="15"/>
      <c r="AA3" s="15"/>
      <c r="AB3" s="381"/>
      <c r="AC3" s="381"/>
      <c r="AD3" s="381"/>
      <c r="AE3" s="381"/>
    </row>
    <row r="5" spans="1:31" ht="15.6">
      <c r="A5" s="305"/>
      <c r="B5" s="306"/>
      <c r="C5" s="306"/>
      <c r="D5" s="306"/>
      <c r="E5" s="306"/>
      <c r="F5" s="340" t="s">
        <v>479</v>
      </c>
      <c r="G5" s="308"/>
      <c r="H5" s="308"/>
      <c r="I5" s="308"/>
      <c r="J5" s="308"/>
      <c r="K5" s="309"/>
      <c r="L5" s="307"/>
      <c r="M5" s="309"/>
      <c r="N5" s="309"/>
      <c r="O5" s="309"/>
      <c r="P5" s="308"/>
      <c r="Q5" s="308"/>
      <c r="R5" s="308"/>
      <c r="S5" s="310"/>
      <c r="T5" s="308"/>
      <c r="U5" s="308"/>
      <c r="V5" s="310"/>
      <c r="W5" s="310"/>
      <c r="X5" s="310"/>
      <c r="Y5" s="310"/>
      <c r="Z5" s="310"/>
      <c r="AA5" s="310"/>
      <c r="AB5" s="310"/>
      <c r="AC5" s="310"/>
      <c r="AD5" s="310"/>
      <c r="AE5" s="306"/>
    </row>
    <row r="6" spans="1:31" ht="15.6">
      <c r="A6" s="305"/>
      <c r="B6" s="306"/>
      <c r="C6" s="306"/>
      <c r="D6" s="306"/>
      <c r="E6" s="306"/>
      <c r="F6" s="578"/>
      <c r="G6" s="579"/>
      <c r="H6" s="579"/>
      <c r="I6" s="579"/>
      <c r="J6" s="579"/>
      <c r="K6" s="580"/>
      <c r="L6" s="581"/>
      <c r="M6" s="580"/>
      <c r="N6" s="580"/>
      <c r="O6" s="580"/>
      <c r="P6" s="579"/>
      <c r="Q6" s="579"/>
      <c r="R6" s="579"/>
      <c r="S6" s="579"/>
      <c r="T6" s="579"/>
      <c r="U6" s="579"/>
      <c r="V6" s="579"/>
      <c r="W6" s="582"/>
      <c r="X6" s="582"/>
      <c r="Y6" s="582"/>
      <c r="Z6" s="582"/>
      <c r="AA6" s="582"/>
      <c r="AB6" s="582"/>
      <c r="AC6" s="582"/>
      <c r="AD6" s="583"/>
      <c r="AE6" s="306"/>
    </row>
    <row r="7" spans="1:31" ht="15.6">
      <c r="A7" s="305"/>
      <c r="B7" s="306"/>
      <c r="C7" s="306"/>
      <c r="D7" s="306"/>
      <c r="E7" s="306"/>
      <c r="F7" s="349"/>
      <c r="G7" s="350"/>
      <c r="H7" s="350"/>
      <c r="I7" s="350"/>
      <c r="J7" s="350"/>
      <c r="K7" s="350"/>
      <c r="L7" s="351"/>
      <c r="M7" s="350"/>
      <c r="N7" s="350"/>
      <c r="O7" s="350"/>
      <c r="P7" s="350"/>
      <c r="Q7" s="350"/>
      <c r="R7" s="350"/>
      <c r="S7" s="350"/>
      <c r="T7" s="350"/>
      <c r="U7" s="350"/>
      <c r="V7" s="350"/>
      <c r="W7" s="584"/>
      <c r="X7" s="584"/>
      <c r="Y7" s="584"/>
      <c r="Z7" s="584"/>
      <c r="AA7" s="584"/>
      <c r="AB7" s="584"/>
      <c r="AC7" s="584"/>
      <c r="AD7" s="585"/>
      <c r="AE7" s="306"/>
    </row>
    <row r="8" spans="1:31">
      <c r="F8" s="312"/>
      <c r="G8" s="293"/>
      <c r="H8" s="313"/>
      <c r="I8" s="293"/>
      <c r="J8" s="293"/>
      <c r="K8" s="293"/>
      <c r="L8" s="293"/>
      <c r="M8" s="293"/>
      <c r="N8" s="293"/>
      <c r="O8" s="293"/>
      <c r="P8" s="293"/>
      <c r="Q8" s="293"/>
      <c r="R8" s="293"/>
      <c r="S8" s="293"/>
      <c r="T8" s="293"/>
      <c r="U8" s="293"/>
      <c r="V8" s="293"/>
      <c r="W8" s="293"/>
      <c r="X8" s="293"/>
      <c r="Y8" s="293"/>
      <c r="Z8" s="293"/>
      <c r="AA8" s="293"/>
      <c r="AB8" s="293"/>
      <c r="AC8" s="293"/>
      <c r="AD8" s="314"/>
    </row>
    <row r="9" spans="1:31">
      <c r="F9" s="312"/>
      <c r="G9" s="293"/>
      <c r="H9" s="313"/>
      <c r="I9" s="293"/>
      <c r="J9" s="293"/>
      <c r="K9" s="293"/>
      <c r="L9" s="293"/>
      <c r="M9" s="293"/>
      <c r="N9" s="293"/>
      <c r="O9" s="293"/>
      <c r="P9" s="293"/>
      <c r="Q9" s="293"/>
      <c r="R9" s="293"/>
      <c r="S9" s="293"/>
      <c r="T9" s="293"/>
      <c r="U9" s="293"/>
      <c r="V9" s="293"/>
      <c r="W9" s="293"/>
      <c r="X9" s="293"/>
      <c r="Y9" s="293"/>
      <c r="Z9" s="293"/>
      <c r="AA9" s="293"/>
      <c r="AB9" s="293"/>
      <c r="AC9" s="293"/>
      <c r="AD9" s="314"/>
    </row>
    <row r="10" spans="1:31">
      <c r="F10" s="312"/>
      <c r="G10" s="293"/>
      <c r="H10" s="313"/>
      <c r="I10" s="293"/>
      <c r="J10" s="293"/>
      <c r="K10" s="293"/>
      <c r="L10" s="293"/>
      <c r="M10" s="293"/>
      <c r="N10" s="293"/>
      <c r="O10" s="293"/>
      <c r="P10" s="293"/>
      <c r="Q10" s="293"/>
      <c r="R10" s="293"/>
      <c r="S10" s="293"/>
      <c r="T10" s="293"/>
      <c r="U10" s="293"/>
      <c r="V10" s="293"/>
      <c r="W10" s="293"/>
      <c r="X10" s="293"/>
      <c r="Y10" s="293"/>
      <c r="Z10" s="293"/>
      <c r="AA10" s="293"/>
      <c r="AB10" s="293"/>
      <c r="AC10" s="293"/>
      <c r="AD10" s="314"/>
    </row>
    <row r="11" spans="1:31">
      <c r="F11" s="312"/>
      <c r="G11" s="293"/>
      <c r="H11" s="313"/>
      <c r="I11" s="293"/>
      <c r="J11" s="293"/>
      <c r="K11" s="293"/>
      <c r="L11" s="293"/>
      <c r="M11" s="293"/>
      <c r="N11" s="293"/>
      <c r="O11" s="293"/>
      <c r="P11" s="293"/>
      <c r="Q11" s="293"/>
      <c r="R11" s="293"/>
      <c r="S11" s="293"/>
      <c r="T11" s="293"/>
      <c r="U11" s="293"/>
      <c r="V11" s="293"/>
      <c r="W11" s="293"/>
      <c r="X11" s="293"/>
      <c r="Y11" s="293"/>
      <c r="Z11" s="293"/>
      <c r="AA11" s="293"/>
      <c r="AB11" s="293"/>
      <c r="AC11" s="293"/>
      <c r="AD11" s="314"/>
    </row>
    <row r="12" spans="1:31">
      <c r="F12" s="312"/>
      <c r="G12" s="293"/>
      <c r="H12" s="313"/>
      <c r="I12" s="293"/>
      <c r="J12" s="293"/>
      <c r="K12" s="293"/>
      <c r="L12" s="293"/>
      <c r="M12" s="293"/>
      <c r="N12" s="293"/>
      <c r="O12" s="293"/>
      <c r="P12" s="293"/>
      <c r="Q12" s="293"/>
      <c r="R12" s="293"/>
      <c r="S12" s="293"/>
      <c r="T12" s="293"/>
      <c r="U12" s="293"/>
      <c r="V12" s="293"/>
      <c r="W12" s="293"/>
      <c r="X12" s="293"/>
      <c r="Y12" s="293"/>
      <c r="Z12" s="293"/>
      <c r="AA12" s="293"/>
      <c r="AB12" s="293"/>
      <c r="AC12" s="293"/>
      <c r="AD12" s="314"/>
    </row>
    <row r="13" spans="1:31">
      <c r="F13" s="312"/>
      <c r="G13" s="293"/>
      <c r="H13" s="313"/>
      <c r="I13" s="293"/>
      <c r="J13" s="293"/>
      <c r="K13" s="293"/>
      <c r="L13" s="293"/>
      <c r="M13" s="293"/>
      <c r="N13" s="293"/>
      <c r="O13" s="293"/>
      <c r="P13" s="293"/>
      <c r="Q13" s="293"/>
      <c r="R13" s="293"/>
      <c r="S13" s="293"/>
      <c r="T13" s="293"/>
      <c r="U13" s="293"/>
      <c r="V13" s="293"/>
      <c r="W13" s="293"/>
      <c r="X13" s="293"/>
      <c r="Y13" s="293"/>
      <c r="Z13" s="293"/>
      <c r="AA13" s="293"/>
      <c r="AB13" s="293"/>
      <c r="AC13" s="293"/>
      <c r="AD13" s="314"/>
    </row>
    <row r="14" spans="1:31">
      <c r="F14" s="312"/>
      <c r="G14" s="293"/>
      <c r="H14" s="313"/>
      <c r="I14" s="293"/>
      <c r="J14" s="293"/>
      <c r="K14" s="293"/>
      <c r="L14" s="293"/>
      <c r="M14" s="293"/>
      <c r="N14" s="293"/>
      <c r="O14" s="293"/>
      <c r="P14" s="293"/>
      <c r="Q14" s="293"/>
      <c r="R14" s="293"/>
      <c r="S14" s="293"/>
      <c r="T14" s="293"/>
      <c r="U14" s="293"/>
      <c r="V14" s="293"/>
      <c r="W14" s="293"/>
      <c r="X14" s="293"/>
      <c r="Y14" s="293"/>
      <c r="Z14" s="293"/>
      <c r="AA14" s="293"/>
      <c r="AB14" s="293"/>
      <c r="AC14" s="293"/>
      <c r="AD14" s="314"/>
    </row>
    <row r="15" spans="1:31">
      <c r="F15" s="312"/>
      <c r="G15" s="293"/>
      <c r="H15" s="313"/>
      <c r="I15" s="293"/>
      <c r="J15" s="293"/>
      <c r="K15" s="293"/>
      <c r="L15" s="293"/>
      <c r="M15" s="293"/>
      <c r="N15" s="293"/>
      <c r="O15" s="293"/>
      <c r="P15" s="293"/>
      <c r="Q15" s="293"/>
      <c r="R15" s="293"/>
      <c r="S15" s="293"/>
      <c r="T15" s="293"/>
      <c r="U15" s="293"/>
      <c r="V15" s="293"/>
      <c r="W15" s="293"/>
      <c r="X15" s="293"/>
      <c r="Y15" s="293"/>
      <c r="Z15" s="293"/>
      <c r="AA15" s="293"/>
      <c r="AB15" s="293"/>
      <c r="AC15" s="293"/>
      <c r="AD15" s="314"/>
    </row>
    <row r="16" spans="1:31">
      <c r="F16" s="312"/>
      <c r="G16" s="293"/>
      <c r="H16" s="313"/>
      <c r="I16" s="293"/>
      <c r="J16" s="293"/>
      <c r="K16" s="293"/>
      <c r="L16" s="293"/>
      <c r="M16" s="293"/>
      <c r="N16" s="293"/>
      <c r="O16" s="293"/>
      <c r="P16" s="293"/>
      <c r="Q16" s="293"/>
      <c r="R16" s="293"/>
      <c r="S16" s="293"/>
      <c r="T16" s="293"/>
      <c r="U16" s="293"/>
      <c r="V16" s="293"/>
      <c r="W16" s="293"/>
      <c r="X16" s="293"/>
      <c r="Y16" s="293"/>
      <c r="Z16" s="293"/>
      <c r="AA16" s="293"/>
      <c r="AB16" s="293"/>
      <c r="AC16" s="293"/>
      <c r="AD16" s="314"/>
    </row>
    <row r="17" spans="6:30">
      <c r="F17" s="312"/>
      <c r="G17" s="293"/>
      <c r="H17" s="313"/>
      <c r="I17" s="293"/>
      <c r="J17" s="293"/>
      <c r="K17" s="293"/>
      <c r="L17" s="293"/>
      <c r="M17" s="293"/>
      <c r="N17" s="293"/>
      <c r="O17" s="293"/>
      <c r="P17" s="293"/>
      <c r="Q17" s="293"/>
      <c r="R17" s="293"/>
      <c r="S17" s="293"/>
      <c r="T17" s="293"/>
      <c r="U17" s="293"/>
      <c r="V17" s="293"/>
      <c r="W17" s="293"/>
      <c r="X17" s="293"/>
      <c r="Y17" s="293"/>
      <c r="Z17" s="293"/>
      <c r="AA17" s="293"/>
      <c r="AB17" s="293"/>
      <c r="AC17" s="293"/>
      <c r="AD17" s="314"/>
    </row>
    <row r="18" spans="6:30">
      <c r="F18" s="312"/>
      <c r="G18" s="293"/>
      <c r="H18" s="313"/>
      <c r="I18" s="293"/>
      <c r="J18" s="293"/>
      <c r="K18" s="293"/>
      <c r="L18" s="293"/>
      <c r="M18" s="293"/>
      <c r="N18" s="293"/>
      <c r="O18" s="293"/>
      <c r="P18" s="293"/>
      <c r="Q18" s="293"/>
      <c r="R18" s="293"/>
      <c r="S18" s="293"/>
      <c r="T18" s="293"/>
      <c r="U18" s="293"/>
      <c r="V18" s="293"/>
      <c r="W18" s="293"/>
      <c r="X18" s="293"/>
      <c r="Y18" s="293"/>
      <c r="Z18" s="293"/>
      <c r="AA18" s="293"/>
      <c r="AB18" s="293"/>
      <c r="AC18" s="293"/>
      <c r="AD18" s="314"/>
    </row>
    <row r="19" spans="6:30">
      <c r="F19" s="312"/>
      <c r="G19" s="293"/>
      <c r="H19" s="313"/>
      <c r="I19" s="293"/>
      <c r="J19" s="293"/>
      <c r="K19" s="293"/>
      <c r="L19" s="293"/>
      <c r="M19" s="293"/>
      <c r="N19" s="293"/>
      <c r="O19" s="293"/>
      <c r="P19" s="293"/>
      <c r="Q19" s="293"/>
      <c r="R19" s="293"/>
      <c r="S19" s="293"/>
      <c r="T19" s="293"/>
      <c r="U19" s="293"/>
      <c r="V19" s="293"/>
      <c r="W19" s="293"/>
      <c r="X19" s="293"/>
      <c r="Y19" s="293"/>
      <c r="Z19" s="293"/>
      <c r="AA19" s="293"/>
      <c r="AB19" s="293"/>
      <c r="AC19" s="293"/>
      <c r="AD19" s="314"/>
    </row>
    <row r="20" spans="6:30">
      <c r="F20" s="312"/>
      <c r="G20" s="293"/>
      <c r="H20" s="313"/>
      <c r="I20" s="293"/>
      <c r="J20" s="293"/>
      <c r="K20" s="293"/>
      <c r="L20" s="293"/>
      <c r="M20" s="293"/>
      <c r="N20" s="293"/>
      <c r="O20" s="293"/>
      <c r="P20" s="293"/>
      <c r="Q20" s="293"/>
      <c r="R20" s="293"/>
      <c r="S20" s="293"/>
      <c r="T20" s="293"/>
      <c r="U20" s="293"/>
      <c r="V20" s="293"/>
      <c r="W20" s="293"/>
      <c r="X20" s="293"/>
      <c r="Y20" s="293"/>
      <c r="Z20" s="293"/>
      <c r="AA20" s="293"/>
      <c r="AB20" s="293"/>
      <c r="AC20" s="293"/>
      <c r="AD20" s="314"/>
    </row>
    <row r="21" spans="6:30">
      <c r="F21" s="312"/>
      <c r="G21" s="293"/>
      <c r="H21" s="313"/>
      <c r="I21" s="293"/>
      <c r="J21" s="293"/>
      <c r="K21" s="293"/>
      <c r="L21" s="293"/>
      <c r="M21" s="293"/>
      <c r="N21" s="293"/>
      <c r="O21" s="293"/>
      <c r="P21" s="293"/>
      <c r="Q21" s="293"/>
      <c r="R21" s="293"/>
      <c r="S21" s="293"/>
      <c r="T21" s="293"/>
      <c r="U21" s="293"/>
      <c r="V21" s="293"/>
      <c r="W21" s="293"/>
      <c r="X21" s="293"/>
      <c r="Y21" s="293"/>
      <c r="Z21" s="293"/>
      <c r="AA21" s="293"/>
      <c r="AB21" s="293"/>
      <c r="AC21" s="293"/>
      <c r="AD21" s="314"/>
    </row>
    <row r="22" spans="6:30">
      <c r="F22" s="312"/>
      <c r="G22" s="293"/>
      <c r="H22" s="313"/>
      <c r="I22" s="293"/>
      <c r="J22" s="293"/>
      <c r="K22" s="293"/>
      <c r="L22" s="293"/>
      <c r="M22" s="293"/>
      <c r="N22" s="293"/>
      <c r="O22" s="293"/>
      <c r="P22" s="293"/>
      <c r="Q22" s="293"/>
      <c r="R22" s="293"/>
      <c r="S22" s="293"/>
      <c r="T22" s="293"/>
      <c r="U22" s="293"/>
      <c r="V22" s="293"/>
      <c r="W22" s="293"/>
      <c r="X22" s="293"/>
      <c r="Y22" s="293"/>
      <c r="Z22" s="293"/>
      <c r="AA22" s="293"/>
      <c r="AB22" s="293"/>
      <c r="AC22" s="293"/>
      <c r="AD22" s="314"/>
    </row>
    <row r="23" spans="6:30">
      <c r="F23" s="312"/>
      <c r="G23" s="293"/>
      <c r="H23" s="313"/>
      <c r="I23" s="293"/>
      <c r="J23" s="293"/>
      <c r="K23" s="293"/>
      <c r="L23" s="293"/>
      <c r="M23" s="293"/>
      <c r="N23" s="293"/>
      <c r="O23" s="293"/>
      <c r="P23" s="293"/>
      <c r="Q23" s="293"/>
      <c r="R23" s="293"/>
      <c r="S23" s="293"/>
      <c r="T23" s="293"/>
      <c r="U23" s="293"/>
      <c r="V23" s="293"/>
      <c r="W23" s="293"/>
      <c r="X23" s="293"/>
      <c r="Y23" s="293"/>
      <c r="Z23" s="293"/>
      <c r="AA23" s="293"/>
      <c r="AB23" s="293"/>
      <c r="AC23" s="293"/>
      <c r="AD23" s="314"/>
    </row>
    <row r="24" spans="6:30">
      <c r="F24" s="312"/>
      <c r="G24" s="293"/>
      <c r="H24" s="313"/>
      <c r="I24" s="293"/>
      <c r="J24" s="293"/>
      <c r="K24" s="293"/>
      <c r="L24" s="293"/>
      <c r="M24" s="293"/>
      <c r="N24" s="293"/>
      <c r="O24" s="293"/>
      <c r="P24" s="293"/>
      <c r="Q24" s="293"/>
      <c r="R24" s="293"/>
      <c r="S24" s="293"/>
      <c r="T24" s="293"/>
      <c r="U24" s="293"/>
      <c r="V24" s="293"/>
      <c r="W24" s="293"/>
      <c r="X24" s="293"/>
      <c r="Y24" s="293"/>
      <c r="Z24" s="293"/>
      <c r="AA24" s="293"/>
      <c r="AB24" s="293"/>
      <c r="AC24" s="293"/>
      <c r="AD24" s="314"/>
    </row>
    <row r="25" spans="6:30">
      <c r="F25" s="312"/>
      <c r="G25" s="293"/>
      <c r="H25" s="313"/>
      <c r="I25" s="293"/>
      <c r="J25" s="293"/>
      <c r="K25" s="293"/>
      <c r="L25" s="293"/>
      <c r="M25" s="293"/>
      <c r="N25" s="293"/>
      <c r="O25" s="293"/>
      <c r="P25" s="293"/>
      <c r="Q25" s="293"/>
      <c r="R25" s="293"/>
      <c r="S25" s="293"/>
      <c r="T25" s="293"/>
      <c r="U25" s="293"/>
      <c r="V25" s="293"/>
      <c r="W25" s="293"/>
      <c r="X25" s="293"/>
      <c r="Y25" s="293"/>
      <c r="Z25" s="293"/>
      <c r="AA25" s="293"/>
      <c r="AB25" s="293"/>
      <c r="AC25" s="293"/>
      <c r="AD25" s="314"/>
    </row>
    <row r="26" spans="6:30">
      <c r="F26" s="312"/>
      <c r="G26" s="293"/>
      <c r="H26" s="313"/>
      <c r="I26" s="293"/>
      <c r="J26" s="293"/>
      <c r="K26" s="293"/>
      <c r="L26" s="293"/>
      <c r="M26" s="293"/>
      <c r="N26" s="293"/>
      <c r="O26" s="293"/>
      <c r="P26" s="293"/>
      <c r="Q26" s="293"/>
      <c r="R26" s="293"/>
      <c r="S26" s="293"/>
      <c r="T26" s="293"/>
      <c r="U26" s="293"/>
      <c r="V26" s="293"/>
      <c r="W26" s="293"/>
      <c r="X26" s="293"/>
      <c r="Y26" s="293"/>
      <c r="Z26" s="293"/>
      <c r="AA26" s="293"/>
      <c r="AB26" s="293"/>
      <c r="AC26" s="293"/>
      <c r="AD26" s="314"/>
    </row>
    <row r="27" spans="6:30">
      <c r="F27" s="312"/>
      <c r="G27" s="293"/>
      <c r="H27" s="313"/>
      <c r="I27" s="293"/>
      <c r="J27" s="293"/>
      <c r="K27" s="293"/>
      <c r="L27" s="293"/>
      <c r="M27" s="293"/>
      <c r="N27" s="293"/>
      <c r="O27" s="293"/>
      <c r="P27" s="293"/>
      <c r="Q27" s="293"/>
      <c r="R27" s="293"/>
      <c r="S27" s="293"/>
      <c r="T27" s="293"/>
      <c r="U27" s="293"/>
      <c r="V27" s="293"/>
      <c r="W27" s="293"/>
      <c r="X27" s="293"/>
      <c r="Y27" s="293"/>
      <c r="Z27" s="293"/>
      <c r="AA27" s="293"/>
      <c r="AB27" s="293"/>
      <c r="AC27" s="293"/>
      <c r="AD27" s="314"/>
    </row>
    <row r="28" spans="6:30">
      <c r="F28" s="312"/>
      <c r="G28" s="293"/>
      <c r="H28" s="313"/>
      <c r="I28" s="293"/>
      <c r="J28" s="293"/>
      <c r="K28" s="293"/>
      <c r="L28" s="293"/>
      <c r="M28" s="293"/>
      <c r="N28" s="293"/>
      <c r="O28" s="293"/>
      <c r="P28" s="293"/>
      <c r="Q28" s="293"/>
      <c r="R28" s="293"/>
      <c r="S28" s="293"/>
      <c r="T28" s="293"/>
      <c r="U28" s="293"/>
      <c r="V28" s="293"/>
      <c r="W28" s="293"/>
      <c r="X28" s="293"/>
      <c r="Y28" s="293"/>
      <c r="Z28" s="293"/>
      <c r="AA28" s="293"/>
      <c r="AB28" s="293"/>
      <c r="AC28" s="293"/>
      <c r="AD28" s="314"/>
    </row>
    <row r="29" spans="6:30">
      <c r="F29" s="312"/>
      <c r="G29" s="293"/>
      <c r="H29" s="313"/>
      <c r="I29" s="293"/>
      <c r="J29" s="293"/>
      <c r="K29" s="293"/>
      <c r="L29" s="293"/>
      <c r="M29" s="293"/>
      <c r="N29" s="293"/>
      <c r="O29" s="293"/>
      <c r="P29" s="293"/>
      <c r="Q29" s="293"/>
      <c r="R29" s="293"/>
      <c r="S29" s="293"/>
      <c r="T29" s="293"/>
      <c r="U29" s="293"/>
      <c r="V29" s="293"/>
      <c r="W29" s="293"/>
      <c r="X29" s="293"/>
      <c r="Y29" s="293"/>
      <c r="Z29" s="293"/>
      <c r="AA29" s="293"/>
      <c r="AB29" s="293"/>
      <c r="AC29" s="293"/>
      <c r="AD29" s="314"/>
    </row>
    <row r="30" spans="6:30">
      <c r="F30" s="312"/>
      <c r="G30" s="293"/>
      <c r="H30" s="313"/>
      <c r="I30" s="293"/>
      <c r="J30" s="293"/>
      <c r="K30" s="293"/>
      <c r="L30" s="293"/>
      <c r="M30" s="293"/>
      <c r="N30" s="293"/>
      <c r="O30" s="293"/>
      <c r="P30" s="293"/>
      <c r="Q30" s="293"/>
      <c r="R30" s="293"/>
      <c r="S30" s="293"/>
      <c r="T30" s="293"/>
      <c r="U30" s="293"/>
      <c r="V30" s="293"/>
      <c r="W30" s="293"/>
      <c r="X30" s="293"/>
      <c r="Y30" s="293"/>
      <c r="Z30" s="293"/>
      <c r="AA30" s="293"/>
      <c r="AB30" s="293"/>
      <c r="AC30" s="293"/>
      <c r="AD30" s="314"/>
    </row>
    <row r="31" spans="6:30">
      <c r="F31" s="312"/>
      <c r="G31" s="293"/>
      <c r="H31" s="313"/>
      <c r="I31" s="293"/>
      <c r="J31" s="293"/>
      <c r="K31" s="293"/>
      <c r="L31" s="293"/>
      <c r="M31" s="293"/>
      <c r="N31" s="293"/>
      <c r="O31" s="293"/>
      <c r="P31" s="293"/>
      <c r="Q31" s="293"/>
      <c r="R31" s="293"/>
      <c r="S31" s="293"/>
      <c r="T31" s="293"/>
      <c r="U31" s="293"/>
      <c r="AA31" s="293"/>
      <c r="AB31" s="293"/>
      <c r="AC31" s="293"/>
      <c r="AD31" s="314"/>
    </row>
    <row r="32" spans="6:30">
      <c r="F32" s="312"/>
      <c r="G32" s="293"/>
      <c r="H32" s="313"/>
      <c r="I32" s="293"/>
      <c r="J32" s="293"/>
      <c r="K32" s="293"/>
      <c r="L32" s="293"/>
      <c r="M32" s="293"/>
      <c r="N32" s="293"/>
      <c r="O32" s="293"/>
      <c r="P32" s="293"/>
      <c r="Q32" s="293"/>
      <c r="R32" s="293"/>
      <c r="S32" s="293"/>
      <c r="T32" s="293"/>
      <c r="U32" s="293"/>
      <c r="V32" s="293"/>
      <c r="W32" s="293"/>
      <c r="X32" s="293"/>
      <c r="Y32" s="293"/>
      <c r="Z32" s="293"/>
      <c r="AA32" s="293"/>
      <c r="AB32" s="293"/>
      <c r="AC32" s="293"/>
      <c r="AD32" s="314"/>
    </row>
    <row r="33" spans="1:31">
      <c r="F33" s="312"/>
      <c r="G33" s="293"/>
      <c r="H33" s="313"/>
      <c r="I33" s="293"/>
      <c r="J33" s="293"/>
      <c r="K33" s="293"/>
      <c r="L33" s="293"/>
      <c r="M33" s="293"/>
      <c r="N33" s="293"/>
      <c r="O33" s="293"/>
      <c r="P33" s="293"/>
      <c r="Q33" s="293"/>
      <c r="R33" s="293"/>
      <c r="S33" s="293"/>
      <c r="T33" s="293"/>
      <c r="U33" s="293"/>
      <c r="V33" s="293"/>
      <c r="W33" s="293"/>
      <c r="X33" s="293"/>
      <c r="Y33" s="293"/>
      <c r="Z33" s="293"/>
      <c r="AA33" s="293"/>
      <c r="AB33" s="293"/>
      <c r="AC33" s="293"/>
      <c r="AD33" s="314"/>
    </row>
    <row r="34" spans="1:31" ht="13.8" thickBot="1">
      <c r="F34" s="312"/>
      <c r="G34" s="293"/>
      <c r="H34" s="313"/>
      <c r="I34" s="293"/>
      <c r="J34" s="293"/>
      <c r="K34" s="293"/>
      <c r="L34" s="293"/>
      <c r="M34" s="293"/>
      <c r="N34" s="293"/>
      <c r="O34" s="293"/>
      <c r="P34" s="293"/>
      <c r="Q34" s="293"/>
      <c r="R34" s="293"/>
      <c r="S34" s="293"/>
      <c r="T34" s="293"/>
      <c r="U34" s="293"/>
      <c r="AA34" s="293"/>
      <c r="AB34" s="293"/>
      <c r="AC34" s="293"/>
      <c r="AD34" s="314"/>
    </row>
    <row r="35" spans="1:31" ht="15.6" thickBot="1">
      <c r="F35" s="312"/>
      <c r="G35" s="293"/>
      <c r="H35" s="313"/>
      <c r="I35" s="293"/>
      <c r="J35" s="293"/>
      <c r="K35" s="293"/>
      <c r="L35" s="293"/>
      <c r="M35" s="293"/>
      <c r="N35" s="293"/>
      <c r="O35" s="293"/>
      <c r="P35" s="293"/>
      <c r="Q35" s="293"/>
      <c r="R35" s="293"/>
      <c r="S35" s="293"/>
      <c r="T35" s="293"/>
      <c r="U35" s="293"/>
      <c r="V35" s="662" t="s">
        <v>464</v>
      </c>
      <c r="W35" s="663"/>
      <c r="X35" s="663"/>
      <c r="Y35" s="663"/>
      <c r="Z35" s="664"/>
      <c r="AA35" s="293"/>
      <c r="AB35" s="293"/>
      <c r="AC35" s="293"/>
      <c r="AD35" s="314"/>
    </row>
    <row r="36" spans="1:31">
      <c r="F36" s="312"/>
      <c r="G36" s="293"/>
      <c r="H36" s="313"/>
      <c r="I36" s="293"/>
      <c r="J36" s="293"/>
      <c r="K36" s="293"/>
      <c r="L36" s="293"/>
      <c r="M36" s="293"/>
      <c r="N36" s="293"/>
      <c r="O36" s="293"/>
      <c r="P36" s="293"/>
      <c r="Q36" s="293"/>
      <c r="R36" s="293"/>
      <c r="S36" s="293"/>
      <c r="T36" s="293"/>
      <c r="U36" s="293"/>
      <c r="AD36" s="314"/>
    </row>
    <row r="37" spans="1:31" ht="15.6">
      <c r="F37" s="312"/>
      <c r="G37" s="293"/>
      <c r="H37" s="313"/>
      <c r="I37" s="293"/>
      <c r="J37" s="293"/>
      <c r="K37" s="293"/>
      <c r="L37" s="293"/>
      <c r="M37" s="293"/>
      <c r="N37" s="293"/>
      <c r="O37" s="293"/>
      <c r="P37" s="293"/>
      <c r="Q37" s="293"/>
      <c r="R37" s="293"/>
      <c r="S37" s="293"/>
      <c r="T37" s="293"/>
      <c r="U37" s="293"/>
      <c r="V37" s="651" t="s">
        <v>451</v>
      </c>
      <c r="W37" s="652"/>
      <c r="X37" s="652"/>
      <c r="Y37" s="652"/>
      <c r="Z37" s="652"/>
      <c r="AD37" s="314"/>
    </row>
    <row r="38" spans="1:31" ht="15.6" thickBot="1">
      <c r="F38" s="312"/>
      <c r="G38" s="293"/>
      <c r="H38" s="313"/>
      <c r="I38" s="293"/>
      <c r="J38" s="293"/>
      <c r="K38" s="293"/>
      <c r="L38" s="293"/>
      <c r="M38" s="293"/>
      <c r="N38" s="293"/>
      <c r="O38" s="293"/>
      <c r="P38" s="293"/>
      <c r="Q38" s="293"/>
      <c r="R38" s="293"/>
      <c r="S38" s="293"/>
      <c r="T38" s="293"/>
      <c r="U38" s="293"/>
      <c r="V38" s="652"/>
      <c r="W38" s="652"/>
      <c r="X38" s="652"/>
      <c r="Y38" s="652"/>
      <c r="Z38" s="652"/>
      <c r="AD38" s="314"/>
    </row>
    <row r="39" spans="1:31" ht="15.6" thickBot="1">
      <c r="F39" s="312"/>
      <c r="G39" s="293"/>
      <c r="H39" s="313"/>
      <c r="I39" s="293"/>
      <c r="J39" s="293"/>
      <c r="K39" s="293"/>
      <c r="L39" s="293"/>
      <c r="M39" s="293"/>
      <c r="N39" s="293"/>
      <c r="O39" s="293"/>
      <c r="P39" s="293"/>
      <c r="Q39" s="293"/>
      <c r="R39" s="293"/>
      <c r="S39" s="293"/>
      <c r="T39" s="293"/>
      <c r="U39" s="293"/>
      <c r="V39" s="697" t="s">
        <v>606</v>
      </c>
      <c r="W39" s="634"/>
      <c r="X39" s="634" t="s">
        <v>205</v>
      </c>
      <c r="Y39" s="634"/>
      <c r="Z39" s="653"/>
      <c r="AD39" s="314"/>
    </row>
    <row r="40" spans="1:31" ht="15.6" thickBot="1">
      <c r="F40" s="312"/>
      <c r="G40" s="293"/>
      <c r="H40" s="313"/>
      <c r="I40" s="293"/>
      <c r="J40" s="293"/>
      <c r="K40" s="293"/>
      <c r="L40" s="293"/>
      <c r="M40" s="293"/>
      <c r="N40" s="293"/>
      <c r="O40" s="293"/>
      <c r="P40" s="293"/>
      <c r="Q40" s="293"/>
      <c r="R40" s="293"/>
      <c r="S40" s="293"/>
      <c r="T40" s="293"/>
      <c r="U40" s="293"/>
      <c r="V40" s="634"/>
      <c r="W40" s="634"/>
      <c r="X40" s="634"/>
      <c r="Y40" s="634"/>
      <c r="Z40" s="653"/>
      <c r="AD40" s="314"/>
    </row>
    <row r="41" spans="1:31" ht="15.6" thickBot="1">
      <c r="F41" s="312"/>
      <c r="G41" s="293"/>
      <c r="H41" s="313"/>
      <c r="I41" s="293"/>
      <c r="J41" s="293"/>
      <c r="K41" s="293"/>
      <c r="L41" s="293"/>
      <c r="M41" s="293"/>
      <c r="N41" s="293"/>
      <c r="O41" s="293"/>
      <c r="P41" s="293"/>
      <c r="Q41" s="293"/>
      <c r="R41" s="293"/>
      <c r="S41" s="293"/>
      <c r="T41" s="293"/>
      <c r="U41" s="293"/>
      <c r="V41" s="702" t="s">
        <v>605</v>
      </c>
      <c r="W41" s="634"/>
      <c r="X41" s="634" t="s">
        <v>604</v>
      </c>
      <c r="Y41" s="634"/>
      <c r="Z41" s="653"/>
      <c r="AD41" s="314"/>
    </row>
    <row r="42" spans="1:31" ht="15.6" thickBot="1">
      <c r="F42" s="312"/>
      <c r="G42" s="293"/>
      <c r="H42" s="313"/>
      <c r="I42" s="293"/>
      <c r="J42" s="293"/>
      <c r="K42" s="293"/>
      <c r="L42" s="293"/>
      <c r="M42" s="293"/>
      <c r="N42" s="293"/>
      <c r="O42" s="293"/>
      <c r="P42" s="293"/>
      <c r="Q42" s="293"/>
      <c r="R42" s="293"/>
      <c r="S42" s="293"/>
      <c r="T42" s="293"/>
      <c r="U42" s="293"/>
      <c r="V42" s="634"/>
      <c r="W42" s="634"/>
      <c r="X42" s="634"/>
      <c r="Y42" s="634"/>
      <c r="Z42" s="653"/>
      <c r="AD42" s="314"/>
    </row>
    <row r="43" spans="1:31" ht="16.2" thickTop="1" thickBot="1">
      <c r="F43" s="312"/>
      <c r="G43" s="293"/>
      <c r="H43" s="313"/>
      <c r="I43" s="293"/>
      <c r="J43" s="293"/>
      <c r="K43" s="293"/>
      <c r="L43" s="293"/>
      <c r="M43" s="293"/>
      <c r="N43" s="293"/>
      <c r="O43" s="293"/>
      <c r="P43" s="293"/>
      <c r="Q43" s="293"/>
      <c r="R43" s="293"/>
      <c r="S43" s="293"/>
      <c r="T43" s="293"/>
      <c r="U43" s="293"/>
      <c r="V43" s="635" t="s">
        <v>450</v>
      </c>
      <c r="W43" s="634"/>
      <c r="X43" s="634" t="s">
        <v>449</v>
      </c>
      <c r="Y43" s="634"/>
      <c r="Z43" s="653"/>
      <c r="AD43" s="314"/>
    </row>
    <row r="44" spans="1:31" ht="13.8" thickTop="1">
      <c r="F44" s="312"/>
      <c r="G44" s="293"/>
      <c r="H44" s="313"/>
      <c r="I44" s="293"/>
      <c r="J44" s="293"/>
      <c r="K44" s="293"/>
      <c r="L44" s="293"/>
      <c r="M44" s="293"/>
      <c r="N44" s="293"/>
      <c r="O44" s="293"/>
      <c r="P44" s="293"/>
      <c r="Q44" s="293"/>
      <c r="R44" s="293"/>
      <c r="S44" s="293"/>
      <c r="T44" s="293"/>
      <c r="U44" s="293"/>
      <c r="V44" s="293"/>
      <c r="W44" s="293"/>
      <c r="X44" s="293"/>
      <c r="Y44" s="293"/>
      <c r="Z44" s="293"/>
      <c r="AA44" s="293"/>
      <c r="AB44" s="293"/>
      <c r="AC44" s="293"/>
      <c r="AD44" s="314"/>
    </row>
    <row r="45" spans="1:31">
      <c r="F45" s="315"/>
      <c r="G45" s="316"/>
      <c r="H45" s="317"/>
      <c r="I45" s="316"/>
      <c r="J45" s="316"/>
      <c r="K45" s="316"/>
      <c r="L45" s="316"/>
      <c r="M45" s="316"/>
      <c r="N45" s="316"/>
      <c r="O45" s="316"/>
      <c r="P45" s="316"/>
      <c r="Q45" s="316"/>
      <c r="R45" s="316"/>
      <c r="S45" s="316"/>
      <c r="T45" s="316"/>
      <c r="U45" s="316"/>
      <c r="V45" s="316"/>
      <c r="W45" s="316"/>
      <c r="X45" s="316"/>
      <c r="Y45" s="316"/>
      <c r="Z45" s="316"/>
      <c r="AA45" s="316"/>
      <c r="AB45" s="316"/>
      <c r="AC45" s="316"/>
      <c r="AD45" s="318"/>
    </row>
    <row r="47" spans="1:31" s="382" customFormat="1" ht="15" customHeight="1">
      <c r="A47" s="15" t="s">
        <v>452</v>
      </c>
      <c r="B47" s="15"/>
      <c r="C47" s="381"/>
      <c r="D47" s="135"/>
      <c r="E47" s="15"/>
      <c r="F47" s="15"/>
      <c r="G47" s="15"/>
      <c r="H47" s="15"/>
      <c r="I47" s="15"/>
      <c r="J47" s="15"/>
      <c r="K47" s="15"/>
      <c r="L47" s="15"/>
      <c r="M47" s="15"/>
      <c r="N47" s="15"/>
      <c r="O47" s="15"/>
      <c r="P47" s="15"/>
      <c r="Q47" s="15"/>
      <c r="R47" s="15"/>
      <c r="S47" s="15"/>
      <c r="T47" s="15"/>
      <c r="U47" s="15"/>
      <c r="V47" s="15"/>
      <c r="W47" s="15"/>
      <c r="X47" s="381"/>
      <c r="Y47" s="15"/>
      <c r="Z47" s="15"/>
      <c r="AA47" s="15"/>
      <c r="AB47" s="381"/>
      <c r="AC47" s="381"/>
      <c r="AD47" s="381"/>
      <c r="AE47" s="381"/>
    </row>
    <row r="48" spans="1:31" ht="13.8">
      <c r="B48" s="654"/>
      <c r="C48" s="655"/>
      <c r="D48" s="656"/>
      <c r="E48" s="657"/>
      <c r="F48" s="650"/>
      <c r="G48" s="658"/>
      <c r="H48" s="659"/>
      <c r="I48" s="659"/>
      <c r="J48" s="659"/>
      <c r="K48" s="659"/>
      <c r="L48" s="659"/>
      <c r="M48" s="659"/>
      <c r="N48" s="659"/>
      <c r="O48" s="659"/>
      <c r="P48" s="659"/>
      <c r="Q48" s="659"/>
      <c r="R48" s="659"/>
      <c r="S48" s="659"/>
      <c r="T48" s="659"/>
      <c r="U48" s="659"/>
      <c r="V48" s="659"/>
      <c r="W48" s="659"/>
      <c r="X48" s="659"/>
      <c r="Y48" s="659"/>
      <c r="Z48" s="659"/>
      <c r="AA48" s="120"/>
      <c r="AB48" s="120"/>
      <c r="AC48" s="120"/>
      <c r="AD48" s="120"/>
      <c r="AE48" s="120"/>
    </row>
    <row r="49" spans="1:31" ht="13.8">
      <c r="B49" s="654"/>
      <c r="C49" s="655"/>
      <c r="D49" s="656"/>
      <c r="E49" s="657"/>
      <c r="F49" s="650"/>
      <c r="G49" s="650"/>
      <c r="H49" s="660" t="s">
        <v>453</v>
      </c>
      <c r="I49" s="659"/>
      <c r="J49" s="659"/>
      <c r="K49" s="659"/>
      <c r="M49" s="659"/>
      <c r="N49" s="659"/>
      <c r="O49" s="659"/>
      <c r="P49" s="659"/>
      <c r="Q49" s="659"/>
      <c r="R49" s="659"/>
      <c r="S49" s="659"/>
      <c r="T49" s="659"/>
      <c r="U49" s="659"/>
      <c r="V49" s="659"/>
      <c r="W49" s="659"/>
      <c r="X49" s="659"/>
      <c r="Y49" s="659"/>
      <c r="Z49" s="659"/>
      <c r="AA49" s="120"/>
      <c r="AB49" s="120"/>
      <c r="AC49" s="120"/>
      <c r="AD49" s="120"/>
      <c r="AE49" s="120"/>
    </row>
    <row r="50" spans="1:31" ht="13.8">
      <c r="B50" s="654"/>
      <c r="C50" s="655"/>
      <c r="D50" s="656"/>
      <c r="E50" s="657"/>
      <c r="F50" s="650"/>
      <c r="G50" s="658"/>
      <c r="H50" s="659"/>
      <c r="I50" s="659"/>
      <c r="J50" s="659"/>
      <c r="K50" s="659" t="s">
        <v>466</v>
      </c>
      <c r="L50" s="661" t="s">
        <v>461</v>
      </c>
      <c r="M50" s="659"/>
      <c r="N50" s="659"/>
      <c r="O50" s="659"/>
      <c r="P50" s="659"/>
      <c r="Q50" s="659"/>
      <c r="R50" s="659"/>
      <c r="S50" s="659"/>
      <c r="T50" s="659"/>
      <c r="U50" s="659"/>
      <c r="V50" s="659"/>
      <c r="W50" s="659"/>
      <c r="X50" s="659"/>
      <c r="Y50" s="659"/>
      <c r="Z50" s="659"/>
      <c r="AA50" s="120"/>
      <c r="AB50" s="120"/>
      <c r="AC50" s="120"/>
      <c r="AD50" s="120"/>
      <c r="AE50" s="120"/>
    </row>
    <row r="51" spans="1:31" ht="13.8">
      <c r="B51" s="654"/>
      <c r="C51" s="655"/>
      <c r="D51" s="656"/>
      <c r="E51" s="657"/>
      <c r="F51" s="650"/>
      <c r="G51" s="658"/>
      <c r="H51" s="659"/>
      <c r="I51" s="659"/>
      <c r="J51" s="659"/>
      <c r="K51" s="659"/>
      <c r="L51" s="661"/>
      <c r="M51" s="659"/>
      <c r="N51" s="659"/>
      <c r="O51" s="659"/>
      <c r="P51" s="659"/>
      <c r="Q51" s="659"/>
      <c r="R51" s="659"/>
      <c r="S51" s="659"/>
      <c r="T51" s="659"/>
      <c r="U51" s="659"/>
      <c r="V51" s="659"/>
      <c r="W51" s="659"/>
      <c r="X51" s="659"/>
      <c r="Y51" s="659"/>
      <c r="Z51" s="659"/>
      <c r="AA51" s="120"/>
      <c r="AB51" s="120"/>
      <c r="AC51" s="120"/>
      <c r="AD51" s="120"/>
      <c r="AE51" s="120"/>
    </row>
    <row r="52" spans="1:31" ht="15.6">
      <c r="B52" s="654"/>
      <c r="C52" s="655"/>
      <c r="D52" s="656"/>
      <c r="E52" s="657"/>
      <c r="F52" s="650"/>
      <c r="G52" s="658"/>
      <c r="H52" s="659"/>
      <c r="I52" s="659"/>
      <c r="J52" s="659"/>
      <c r="K52" s="659" t="s">
        <v>466</v>
      </c>
      <c r="L52" s="659" t="s">
        <v>462</v>
      </c>
      <c r="M52" s="659"/>
      <c r="N52" s="659"/>
      <c r="O52" s="659"/>
      <c r="P52" s="659"/>
      <c r="Q52" s="659"/>
      <c r="R52" s="659"/>
      <c r="S52" s="659"/>
      <c r="T52" s="659"/>
      <c r="U52" s="659"/>
      <c r="V52" s="659"/>
      <c r="W52" s="659"/>
      <c r="X52" s="659"/>
      <c r="Y52" s="670"/>
      <c r="Z52" s="659"/>
      <c r="AA52" s="120"/>
      <c r="AB52" s="120"/>
      <c r="AC52" s="120"/>
      <c r="AD52" s="120"/>
      <c r="AE52" s="120"/>
    </row>
    <row r="53" spans="1:31" ht="15.6">
      <c r="B53" s="654"/>
      <c r="C53" s="655"/>
      <c r="D53" s="656"/>
      <c r="E53" s="657"/>
      <c r="F53" s="650"/>
      <c r="G53" s="658"/>
      <c r="H53" s="659"/>
      <c r="I53" s="659"/>
      <c r="J53" s="659"/>
      <c r="K53" s="659"/>
      <c r="L53" s="659" t="s">
        <v>496</v>
      </c>
      <c r="M53" s="659"/>
      <c r="N53" s="659"/>
      <c r="O53" s="659"/>
      <c r="P53" s="659"/>
      <c r="Q53" s="659"/>
      <c r="R53" s="659"/>
      <c r="S53" s="659"/>
      <c r="T53" s="659"/>
      <c r="U53" s="659"/>
      <c r="V53" s="659"/>
      <c r="W53" s="659"/>
      <c r="X53" s="659"/>
      <c r="Y53" s="670"/>
      <c r="Z53" s="659"/>
      <c r="AA53" s="120"/>
      <c r="AB53" s="120"/>
      <c r="AC53" s="120"/>
      <c r="AD53" s="120"/>
      <c r="AE53" s="120"/>
    </row>
    <row r="54" spans="1:31" ht="15.6">
      <c r="B54" s="654"/>
      <c r="C54" s="655"/>
      <c r="D54" s="656"/>
      <c r="E54" s="657"/>
      <c r="F54" s="650"/>
      <c r="G54" s="658"/>
      <c r="H54" s="659"/>
      <c r="I54" s="659"/>
      <c r="J54" s="659"/>
      <c r="K54" s="659"/>
      <c r="L54" s="659" t="s">
        <v>485</v>
      </c>
      <c r="M54" s="659"/>
      <c r="N54" s="659"/>
      <c r="O54" s="659"/>
      <c r="P54" s="659"/>
      <c r="Q54" s="659"/>
      <c r="R54" s="659"/>
      <c r="S54" s="659"/>
      <c r="T54" s="659"/>
      <c r="U54" s="659"/>
      <c r="V54" s="659"/>
      <c r="W54" s="659"/>
      <c r="X54" s="659"/>
      <c r="Y54" s="670"/>
      <c r="Z54" s="659"/>
      <c r="AA54" s="120"/>
      <c r="AB54" s="120"/>
      <c r="AC54" s="120"/>
      <c r="AD54" s="120"/>
      <c r="AE54" s="120"/>
    </row>
    <row r="55" spans="1:31" ht="15.6">
      <c r="B55" s="654"/>
      <c r="C55" s="655"/>
      <c r="D55" s="656"/>
      <c r="E55" s="657"/>
      <c r="F55" s="650"/>
      <c r="G55" s="658"/>
      <c r="H55" s="659"/>
      <c r="I55" s="659"/>
      <c r="J55" s="659"/>
      <c r="K55" s="659"/>
      <c r="L55" s="659"/>
      <c r="M55" s="659"/>
      <c r="N55" s="659"/>
      <c r="O55" s="659"/>
      <c r="P55" s="659"/>
      <c r="Q55" s="659"/>
      <c r="R55" s="659"/>
      <c r="S55" s="659"/>
      <c r="T55" s="659"/>
      <c r="U55" s="659"/>
      <c r="V55" s="659"/>
      <c r="W55" s="659"/>
      <c r="X55" s="659"/>
      <c r="Y55" s="670"/>
      <c r="Z55" s="659"/>
      <c r="AA55" s="120"/>
      <c r="AB55" s="120"/>
      <c r="AC55" s="120"/>
      <c r="AD55" s="120"/>
      <c r="AE55" s="120"/>
    </row>
    <row r="56" spans="1:31" ht="15.6">
      <c r="B56" s="654"/>
      <c r="C56" s="655"/>
      <c r="D56" s="656"/>
      <c r="E56" s="657"/>
      <c r="F56" s="650"/>
      <c r="G56" s="658"/>
      <c r="H56" s="659"/>
      <c r="I56" s="659"/>
      <c r="J56" s="659"/>
      <c r="K56" s="659" t="s">
        <v>466</v>
      </c>
      <c r="L56" s="665" t="s">
        <v>465</v>
      </c>
      <c r="M56" s="659"/>
      <c r="N56" s="659"/>
      <c r="O56" s="659"/>
      <c r="P56" s="659"/>
      <c r="Q56" s="659"/>
      <c r="R56" s="659"/>
      <c r="S56" s="659"/>
      <c r="T56" s="659"/>
      <c r="U56" s="659"/>
      <c r="V56" s="659"/>
      <c r="W56" s="659"/>
      <c r="X56" s="659"/>
      <c r="Y56" s="670"/>
      <c r="Z56" s="659"/>
      <c r="AA56" s="120"/>
      <c r="AB56" s="120"/>
      <c r="AC56" s="120"/>
      <c r="AD56" s="120"/>
      <c r="AE56" s="120"/>
    </row>
    <row r="57" spans="1:31" ht="15.6">
      <c r="B57" s="654"/>
      <c r="C57" s="655"/>
      <c r="D57" s="656"/>
      <c r="E57" s="657"/>
      <c r="F57" s="650"/>
      <c r="G57" s="658"/>
      <c r="H57" s="659"/>
      <c r="I57" s="659"/>
      <c r="J57" s="659"/>
      <c r="K57" s="659"/>
      <c r="L57" s="665" t="s">
        <v>497</v>
      </c>
      <c r="M57" s="659"/>
      <c r="N57" s="659"/>
      <c r="O57" s="659"/>
      <c r="P57" s="659"/>
      <c r="Q57" s="659"/>
      <c r="R57" s="659"/>
      <c r="S57" s="659"/>
      <c r="T57" s="659"/>
      <c r="U57" s="659"/>
      <c r="V57" s="659"/>
      <c r="W57" s="659"/>
      <c r="X57" s="659"/>
      <c r="Y57" s="670"/>
      <c r="Z57" s="659"/>
      <c r="AA57" s="120"/>
      <c r="AB57" s="120"/>
      <c r="AC57" s="120"/>
      <c r="AD57" s="120"/>
      <c r="AE57" s="120"/>
    </row>
    <row r="58" spans="1:31" ht="13.8">
      <c r="B58" s="654"/>
      <c r="C58" s="655"/>
      <c r="D58" s="656"/>
      <c r="E58" s="657"/>
      <c r="F58" s="650"/>
      <c r="G58" s="658"/>
      <c r="H58" s="659"/>
      <c r="I58" s="659"/>
      <c r="J58" s="659"/>
      <c r="K58" s="659"/>
      <c r="L58" s="659" t="s">
        <v>486</v>
      </c>
      <c r="M58" s="659"/>
      <c r="N58" s="659"/>
      <c r="O58" s="659"/>
      <c r="P58" s="659"/>
      <c r="Q58" s="659"/>
      <c r="R58" s="659"/>
      <c r="S58" s="659"/>
      <c r="T58" s="659"/>
      <c r="U58" s="659"/>
      <c r="V58" s="659"/>
      <c r="W58" s="659"/>
      <c r="X58" s="659"/>
      <c r="Y58" s="659"/>
      <c r="Z58" s="659"/>
      <c r="AA58" s="120"/>
      <c r="AB58" s="120"/>
      <c r="AC58" s="120"/>
      <c r="AD58" s="120"/>
      <c r="AE58" s="120"/>
    </row>
    <row r="59" spans="1:31" ht="13.8">
      <c r="B59" s="654"/>
      <c r="C59" s="655"/>
      <c r="D59" s="656"/>
      <c r="E59" s="657"/>
      <c r="F59" s="650"/>
      <c r="G59" s="658"/>
      <c r="H59" s="659"/>
      <c r="I59" s="659"/>
      <c r="J59" s="659"/>
      <c r="K59" s="659"/>
      <c r="L59" s="665"/>
      <c r="M59" s="659"/>
      <c r="N59" s="659"/>
      <c r="O59" s="659"/>
      <c r="P59" s="659"/>
      <c r="Q59" s="659"/>
      <c r="R59" s="659"/>
      <c r="S59" s="659"/>
      <c r="T59" s="659"/>
      <c r="U59" s="659"/>
      <c r="V59" s="659"/>
      <c r="W59" s="659"/>
      <c r="X59" s="659"/>
      <c r="Y59" s="659"/>
      <c r="Z59" s="659"/>
      <c r="AA59" s="120"/>
      <c r="AB59" s="120"/>
      <c r="AC59" s="120"/>
      <c r="AD59" s="120"/>
      <c r="AE59" s="120"/>
    </row>
    <row r="60" spans="1:31" ht="13.8">
      <c r="B60" s="654"/>
      <c r="C60" s="655"/>
      <c r="D60" s="656"/>
      <c r="E60" s="657"/>
      <c r="F60" s="650"/>
      <c r="G60" s="658"/>
      <c r="H60" s="659"/>
      <c r="I60" s="659"/>
      <c r="J60" s="659"/>
      <c r="K60" s="659" t="s">
        <v>466</v>
      </c>
      <c r="L60" s="659" t="s">
        <v>463</v>
      </c>
      <c r="M60" s="659"/>
      <c r="N60" s="659"/>
      <c r="O60" s="659"/>
      <c r="P60" s="659"/>
      <c r="Q60" s="659"/>
      <c r="R60" s="659"/>
      <c r="S60" s="659"/>
      <c r="T60" s="659"/>
      <c r="U60" s="659"/>
      <c r="V60" s="659"/>
      <c r="W60" s="659"/>
      <c r="X60" s="659"/>
      <c r="Y60" s="659"/>
      <c r="Z60" s="659"/>
      <c r="AA60" s="120"/>
      <c r="AB60" s="120"/>
      <c r="AC60" s="120"/>
      <c r="AD60" s="120"/>
      <c r="AE60" s="120"/>
    </row>
    <row r="61" spans="1:31" ht="13.8">
      <c r="B61" s="654"/>
      <c r="C61" s="655"/>
      <c r="D61" s="656"/>
      <c r="E61" s="657"/>
      <c r="F61" s="650"/>
      <c r="G61" s="658"/>
      <c r="H61" s="659"/>
      <c r="I61" s="659"/>
      <c r="J61" s="659"/>
      <c r="K61" s="659"/>
      <c r="L61" s="661"/>
      <c r="M61" s="659"/>
      <c r="N61" s="659"/>
      <c r="O61" s="659"/>
      <c r="P61" s="659"/>
      <c r="Q61" s="659"/>
      <c r="R61" s="659"/>
      <c r="S61" s="659"/>
      <c r="T61" s="659"/>
      <c r="U61" s="659"/>
      <c r="V61" s="659"/>
      <c r="W61" s="659"/>
      <c r="X61" s="659"/>
      <c r="Y61" s="659"/>
      <c r="Z61" s="659"/>
      <c r="AA61" s="120"/>
      <c r="AB61" s="120"/>
      <c r="AC61" s="120"/>
      <c r="AD61" s="120"/>
      <c r="AE61" s="120"/>
    </row>
    <row r="62" spans="1:31" s="382" customFormat="1" ht="15" customHeight="1">
      <c r="A62" s="15" t="s">
        <v>480</v>
      </c>
      <c r="B62" s="15"/>
      <c r="C62" s="381"/>
      <c r="D62" s="135"/>
      <c r="E62" s="15"/>
      <c r="F62" s="15"/>
      <c r="G62" s="15"/>
      <c r="H62" s="15"/>
      <c r="I62" s="15"/>
      <c r="J62" s="15"/>
      <c r="K62" s="15"/>
      <c r="L62" s="15"/>
      <c r="M62" s="15"/>
      <c r="N62" s="15"/>
      <c r="O62" s="15"/>
      <c r="P62" s="15"/>
      <c r="Q62" s="15"/>
      <c r="R62" s="15"/>
      <c r="S62" s="15"/>
      <c r="T62" s="15"/>
      <c r="U62" s="15"/>
      <c r="V62" s="15"/>
      <c r="W62" s="15"/>
      <c r="X62" s="381"/>
      <c r="Y62" s="15"/>
      <c r="Z62" s="15"/>
      <c r="AA62" s="15"/>
      <c r="AB62" s="381"/>
      <c r="AC62" s="381"/>
      <c r="AD62" s="381"/>
      <c r="AE62" s="381"/>
    </row>
    <row r="63" spans="1:31" s="600" customFormat="1" ht="15" customHeight="1">
      <c r="A63" s="193"/>
      <c r="B63" s="193"/>
      <c r="C63" s="668"/>
      <c r="D63" s="194"/>
      <c r="E63" s="193"/>
      <c r="F63" s="193"/>
      <c r="G63" s="193"/>
      <c r="H63" s="193"/>
      <c r="I63" s="193"/>
      <c r="J63" s="193"/>
      <c r="K63" s="193"/>
      <c r="L63" s="193"/>
      <c r="M63" s="193"/>
      <c r="N63" s="193"/>
      <c r="O63" s="193"/>
      <c r="P63" s="193"/>
      <c r="Q63" s="193"/>
      <c r="R63" s="193"/>
      <c r="S63" s="193"/>
      <c r="T63" s="193"/>
      <c r="U63" s="193"/>
      <c r="V63" s="193"/>
      <c r="W63" s="193"/>
      <c r="X63" s="668"/>
      <c r="Y63" s="193"/>
      <c r="Z63" s="193"/>
      <c r="AA63" s="193"/>
      <c r="AB63" s="668"/>
      <c r="AC63" s="668"/>
      <c r="AD63" s="668"/>
      <c r="AE63" s="668"/>
    </row>
    <row r="64" spans="1:31" ht="13.8">
      <c r="B64" s="654"/>
      <c r="C64" s="655"/>
      <c r="D64" s="656"/>
      <c r="E64" s="657"/>
      <c r="F64" s="650"/>
      <c r="G64" s="658"/>
      <c r="H64" s="660" t="s">
        <v>454</v>
      </c>
      <c r="I64" s="659"/>
      <c r="J64" s="659"/>
      <c r="K64" s="659"/>
      <c r="L64" s="650"/>
      <c r="M64" s="659"/>
      <c r="N64" s="659"/>
      <c r="O64" s="659"/>
      <c r="P64" s="659"/>
      <c r="Q64" s="659"/>
      <c r="R64" s="659"/>
      <c r="S64" s="659"/>
      <c r="T64" s="659"/>
      <c r="U64" s="659"/>
      <c r="V64" s="659"/>
      <c r="W64" s="659"/>
      <c r="X64" s="659"/>
      <c r="Y64" s="659"/>
      <c r="Z64" s="659"/>
      <c r="AA64" s="120"/>
      <c r="AB64" s="120"/>
      <c r="AC64" s="120"/>
      <c r="AD64" s="120"/>
      <c r="AE64" s="120"/>
    </row>
    <row r="65" spans="1:31" ht="13.8">
      <c r="B65" s="654"/>
      <c r="C65" s="655"/>
      <c r="D65" s="656"/>
      <c r="E65" s="657"/>
      <c r="F65" s="650"/>
      <c r="G65" s="658"/>
      <c r="H65" s="667" t="s">
        <v>482</v>
      </c>
      <c r="I65" s="659"/>
      <c r="J65" s="659"/>
      <c r="K65" s="659"/>
      <c r="L65" s="659" t="s">
        <v>498</v>
      </c>
      <c r="M65" s="659"/>
      <c r="N65" s="659"/>
      <c r="O65" s="659"/>
      <c r="P65" s="659"/>
      <c r="Q65" s="659"/>
      <c r="R65" s="659"/>
      <c r="S65" s="659"/>
      <c r="T65" s="659"/>
      <c r="U65" s="659"/>
      <c r="V65" s="659"/>
      <c r="W65" s="659"/>
      <c r="X65" s="659"/>
      <c r="Y65" s="659"/>
      <c r="Z65" s="659"/>
      <c r="AA65" s="120"/>
      <c r="AB65" s="120"/>
      <c r="AC65" s="120"/>
      <c r="AD65" s="120"/>
      <c r="AE65" s="120"/>
    </row>
    <row r="66" spans="1:31" ht="13.8">
      <c r="B66" s="654"/>
      <c r="C66" s="655"/>
      <c r="D66" s="656"/>
      <c r="E66" s="657"/>
      <c r="F66" s="650"/>
      <c r="G66" s="658"/>
      <c r="H66" s="660"/>
      <c r="I66" s="659"/>
      <c r="J66" s="659">
        <v>1</v>
      </c>
      <c r="K66" s="659" t="s">
        <v>488</v>
      </c>
      <c r="L66" s="650" t="s">
        <v>499</v>
      </c>
      <c r="M66" s="659"/>
      <c r="N66" s="659"/>
      <c r="O66" s="659"/>
      <c r="P66" s="659"/>
      <c r="Q66" s="659"/>
      <c r="R66" s="659"/>
      <c r="S66" s="659"/>
      <c r="T66" s="659"/>
      <c r="U66" s="659"/>
      <c r="V66" s="659"/>
      <c r="W66" s="659"/>
      <c r="X66" s="659"/>
      <c r="Y66" s="659"/>
      <c r="Z66" s="659"/>
      <c r="AA66" s="120"/>
      <c r="AB66" s="120"/>
      <c r="AC66" s="120"/>
      <c r="AD66" s="120"/>
      <c r="AE66" s="120"/>
    </row>
    <row r="67" spans="1:31" ht="13.8">
      <c r="B67" s="654"/>
      <c r="C67" s="655"/>
      <c r="D67" s="656"/>
      <c r="E67" s="657"/>
      <c r="F67" s="650"/>
      <c r="G67" s="658"/>
      <c r="H67" s="660"/>
      <c r="I67" s="659"/>
      <c r="J67" s="659"/>
      <c r="K67" s="659"/>
      <c r="L67" s="650" t="s">
        <v>500</v>
      </c>
      <c r="M67" s="659"/>
      <c r="N67" s="659"/>
      <c r="O67" s="659"/>
      <c r="P67" s="659"/>
      <c r="Q67" s="659"/>
      <c r="R67" s="659"/>
      <c r="S67" s="659"/>
      <c r="T67" s="659"/>
      <c r="U67" s="659"/>
      <c r="V67" s="659"/>
      <c r="W67" s="659"/>
      <c r="X67" s="659"/>
      <c r="Y67" s="659"/>
      <c r="Z67" s="659"/>
      <c r="AA67" s="120"/>
      <c r="AB67" s="120"/>
      <c r="AC67" s="120"/>
      <c r="AD67" s="120"/>
      <c r="AE67" s="120"/>
    </row>
    <row r="68" spans="1:31" ht="13.8">
      <c r="B68" s="654"/>
      <c r="C68" s="655"/>
      <c r="D68" s="656"/>
      <c r="E68" s="657"/>
      <c r="F68" s="650"/>
      <c r="G68" s="658"/>
      <c r="H68" s="660"/>
      <c r="I68" s="659"/>
      <c r="J68" s="659">
        <v>2</v>
      </c>
      <c r="K68" s="659" t="s">
        <v>488</v>
      </c>
      <c r="L68" s="650" t="s">
        <v>501</v>
      </c>
      <c r="M68" s="659"/>
      <c r="N68" s="659"/>
      <c r="O68" s="659"/>
      <c r="P68" s="659"/>
      <c r="Q68" s="659"/>
      <c r="R68" s="659"/>
      <c r="S68" s="659"/>
      <c r="T68" s="659"/>
      <c r="U68" s="659"/>
      <c r="V68" s="659"/>
      <c r="W68" s="659"/>
      <c r="X68" s="659"/>
      <c r="Y68" s="659"/>
      <c r="Z68" s="659"/>
      <c r="AA68" s="120"/>
      <c r="AB68" s="120"/>
      <c r="AC68" s="120"/>
      <c r="AD68" s="120"/>
      <c r="AE68" s="120"/>
    </row>
    <row r="69" spans="1:31" ht="13.8">
      <c r="B69" s="654"/>
      <c r="C69" s="655"/>
      <c r="D69" s="656"/>
      <c r="E69" s="657"/>
      <c r="F69" s="650"/>
      <c r="G69" s="658"/>
      <c r="H69" s="660"/>
      <c r="I69" s="659"/>
      <c r="J69" s="659"/>
      <c r="K69" s="659"/>
      <c r="L69" s="650" t="s">
        <v>596</v>
      </c>
      <c r="M69" s="659"/>
      <c r="N69" s="659"/>
      <c r="O69" s="659"/>
      <c r="P69" s="659"/>
      <c r="Q69" s="659"/>
      <c r="R69" s="659"/>
      <c r="S69" s="659"/>
      <c r="T69" s="659"/>
      <c r="U69" s="659"/>
      <c r="V69" s="659"/>
      <c r="W69" s="659"/>
      <c r="X69" s="659"/>
      <c r="Y69" s="659"/>
      <c r="Z69" s="659"/>
      <c r="AA69" s="120"/>
      <c r="AB69" s="120"/>
      <c r="AC69" s="120"/>
      <c r="AD69" s="120"/>
      <c r="AE69" s="120"/>
    </row>
    <row r="70" spans="1:31" ht="13.8">
      <c r="B70" s="654"/>
      <c r="C70" s="655"/>
      <c r="D70" s="656"/>
      <c r="E70" s="657"/>
      <c r="F70" s="650"/>
      <c r="G70" s="658"/>
      <c r="H70" s="660"/>
      <c r="I70" s="659"/>
      <c r="J70" s="659">
        <v>3</v>
      </c>
      <c r="K70" s="659" t="s">
        <v>488</v>
      </c>
      <c r="L70" s="650" t="s">
        <v>597</v>
      </c>
      <c r="M70" s="659"/>
      <c r="N70" s="659"/>
      <c r="O70" s="659"/>
      <c r="P70" s="659"/>
      <c r="Q70" s="659"/>
      <c r="R70" s="659"/>
      <c r="S70" s="659"/>
      <c r="T70" s="659"/>
      <c r="U70" s="659"/>
      <c r="V70" s="659"/>
      <c r="W70" s="659"/>
      <c r="X70" s="659"/>
      <c r="Y70" s="659"/>
      <c r="Z70" s="659"/>
      <c r="AA70" s="120"/>
      <c r="AB70" s="120"/>
      <c r="AC70" s="120"/>
      <c r="AD70" s="120"/>
      <c r="AE70" s="120"/>
    </row>
    <row r="71" spans="1:31" ht="13.8">
      <c r="B71" s="654"/>
      <c r="C71" s="655"/>
      <c r="D71" s="656"/>
      <c r="E71" s="657"/>
      <c r="F71" s="650"/>
      <c r="G71" s="658"/>
      <c r="H71" s="660"/>
      <c r="I71" s="659"/>
      <c r="J71" s="659"/>
      <c r="K71" s="669" t="s">
        <v>487</v>
      </c>
      <c r="L71" s="650" t="s">
        <v>489</v>
      </c>
      <c r="M71" s="659"/>
      <c r="N71" s="659"/>
      <c r="O71" s="659"/>
      <c r="P71" s="659"/>
      <c r="Q71" s="659"/>
      <c r="R71" s="659"/>
      <c r="S71" s="659"/>
      <c r="T71" s="659"/>
      <c r="U71" s="659"/>
      <c r="V71" s="659"/>
      <c r="W71" s="659"/>
      <c r="X71" s="659"/>
      <c r="Y71" s="659"/>
      <c r="Z71" s="659"/>
      <c r="AA71" s="120"/>
      <c r="AB71" s="120"/>
      <c r="AC71" s="120"/>
      <c r="AD71" s="120"/>
      <c r="AE71" s="120"/>
    </row>
    <row r="72" spans="1:31" ht="13.8">
      <c r="B72" s="654"/>
      <c r="C72" s="655"/>
      <c r="D72" s="656"/>
      <c r="E72" s="657"/>
      <c r="F72" s="650"/>
      <c r="G72" s="658"/>
      <c r="H72" s="660"/>
      <c r="I72" s="659"/>
      <c r="J72" s="659"/>
      <c r="K72" s="669" t="s">
        <v>491</v>
      </c>
      <c r="L72" s="650" t="s">
        <v>490</v>
      </c>
      <c r="M72" s="659"/>
      <c r="N72" s="659"/>
      <c r="O72" s="659"/>
      <c r="P72" s="659"/>
      <c r="Q72" s="659"/>
      <c r="R72" s="659"/>
      <c r="S72" s="659"/>
      <c r="T72" s="659"/>
      <c r="U72" s="659"/>
      <c r="V72" s="659"/>
      <c r="W72" s="659"/>
      <c r="X72" s="659"/>
      <c r="Y72" s="659"/>
      <c r="Z72" s="659"/>
      <c r="AA72" s="120"/>
      <c r="AB72" s="120"/>
      <c r="AC72" s="120"/>
      <c r="AD72" s="120"/>
      <c r="AE72" s="120"/>
    </row>
    <row r="73" spans="1:31" ht="13.8">
      <c r="B73" s="654"/>
      <c r="C73" s="655"/>
      <c r="D73" s="656"/>
      <c r="E73" s="657"/>
      <c r="F73" s="650"/>
      <c r="G73" s="658"/>
      <c r="H73" s="660"/>
      <c r="I73" s="659"/>
      <c r="J73" s="659"/>
      <c r="K73" s="669" t="s">
        <v>492</v>
      </c>
      <c r="L73" s="650" t="s">
        <v>494</v>
      </c>
      <c r="M73" s="659"/>
      <c r="N73" s="659"/>
      <c r="O73" s="659"/>
      <c r="P73" s="659"/>
      <c r="Q73" s="659"/>
      <c r="R73" s="659"/>
      <c r="S73" s="659"/>
      <c r="T73" s="659"/>
      <c r="U73" s="659"/>
      <c r="V73" s="659"/>
      <c r="W73" s="659"/>
      <c r="X73" s="659"/>
      <c r="Y73" s="659"/>
      <c r="Z73" s="659"/>
      <c r="AA73" s="120"/>
      <c r="AB73" s="120"/>
      <c r="AC73" s="120"/>
      <c r="AD73" s="120"/>
      <c r="AE73" s="120"/>
    </row>
    <row r="74" spans="1:31" ht="13.8">
      <c r="B74" s="654"/>
      <c r="C74" s="655"/>
      <c r="D74" s="656"/>
      <c r="E74" s="657"/>
      <c r="F74" s="650"/>
      <c r="G74" s="658"/>
      <c r="H74" s="660"/>
      <c r="I74" s="659"/>
      <c r="J74" s="659"/>
      <c r="K74" s="669" t="s">
        <v>493</v>
      </c>
      <c r="L74" s="650" t="s">
        <v>495</v>
      </c>
      <c r="M74" s="659"/>
      <c r="N74" s="659"/>
      <c r="O74" s="659"/>
      <c r="P74" s="659"/>
      <c r="Q74" s="659"/>
      <c r="R74" s="659"/>
      <c r="S74" s="659"/>
      <c r="T74" s="659"/>
      <c r="U74" s="659"/>
      <c r="V74" s="659"/>
      <c r="W74" s="659"/>
      <c r="X74" s="659"/>
      <c r="Y74" s="659"/>
      <c r="Z74" s="659"/>
      <c r="AA74" s="120"/>
      <c r="AB74" s="120"/>
      <c r="AC74" s="120"/>
      <c r="AD74" s="120"/>
      <c r="AE74" s="120"/>
    </row>
    <row r="75" spans="1:31" ht="13.8">
      <c r="B75" s="654"/>
      <c r="C75" s="655"/>
      <c r="D75" s="656"/>
      <c r="E75" s="657"/>
      <c r="F75" s="650"/>
      <c r="G75" s="658"/>
      <c r="H75" s="660"/>
      <c r="I75" s="659"/>
      <c r="J75" s="659"/>
      <c r="K75" s="669"/>
      <c r="L75" s="666" t="s">
        <v>460</v>
      </c>
      <c r="M75" s="659"/>
      <c r="N75" s="659"/>
      <c r="O75" s="659"/>
      <c r="P75" s="659"/>
      <c r="Q75" s="659"/>
      <c r="R75" s="659"/>
      <c r="S75" s="659"/>
      <c r="T75" s="659"/>
      <c r="U75" s="659"/>
      <c r="V75" s="659"/>
      <c r="W75" s="659"/>
      <c r="X75" s="659"/>
      <c r="Y75" s="659"/>
      <c r="Z75" s="659"/>
      <c r="AA75" s="120"/>
      <c r="AB75" s="120"/>
      <c r="AC75" s="120"/>
      <c r="AD75" s="120"/>
      <c r="AE75" s="120"/>
    </row>
    <row r="76" spans="1:31" ht="13.8">
      <c r="B76" s="654"/>
      <c r="C76" s="655"/>
      <c r="D76" s="656"/>
      <c r="E76" s="657"/>
      <c r="F76" s="650"/>
      <c r="G76" s="658"/>
      <c r="H76" s="660"/>
      <c r="I76" s="659"/>
      <c r="J76" s="659"/>
      <c r="K76" s="659"/>
      <c r="M76" s="659"/>
      <c r="N76" s="659"/>
      <c r="O76" s="659"/>
      <c r="P76" s="659"/>
      <c r="Q76" s="659"/>
      <c r="R76" s="659"/>
      <c r="S76" s="659"/>
      <c r="T76" s="659"/>
      <c r="U76" s="659"/>
      <c r="V76" s="659"/>
      <c r="W76" s="659"/>
      <c r="X76" s="659"/>
      <c r="Y76" s="659"/>
      <c r="Z76" s="659"/>
      <c r="AA76" s="120"/>
      <c r="AB76" s="120"/>
      <c r="AC76" s="120"/>
      <c r="AD76" s="120"/>
      <c r="AE76" s="120"/>
    </row>
    <row r="77" spans="1:31" s="650" customFormat="1" ht="13.8">
      <c r="A77" s="654"/>
      <c r="B77" s="654"/>
      <c r="C77" s="655"/>
      <c r="D77" s="656"/>
      <c r="E77" s="657"/>
      <c r="G77" s="658"/>
      <c r="H77" s="667" t="s">
        <v>481</v>
      </c>
      <c r="I77" s="659"/>
      <c r="J77" s="659"/>
      <c r="K77" s="659"/>
      <c r="L77" s="659" t="s">
        <v>498</v>
      </c>
      <c r="M77" s="659"/>
      <c r="N77" s="659"/>
      <c r="O77" s="659"/>
      <c r="P77" s="659"/>
      <c r="Q77" s="659"/>
      <c r="R77" s="659"/>
      <c r="S77" s="659"/>
      <c r="T77" s="659"/>
      <c r="U77" s="659"/>
      <c r="V77" s="659"/>
      <c r="W77" s="659"/>
      <c r="X77" s="659"/>
      <c r="Y77" s="659"/>
      <c r="Z77" s="659"/>
      <c r="AA77" s="659"/>
      <c r="AB77" s="659"/>
      <c r="AC77" s="659"/>
      <c r="AD77" s="659"/>
      <c r="AE77" s="659"/>
    </row>
    <row r="78" spans="1:31" s="650" customFormat="1" ht="13.8">
      <c r="A78" s="654"/>
      <c r="B78" s="654"/>
      <c r="C78" s="655"/>
      <c r="D78" s="656"/>
      <c r="E78" s="657"/>
      <c r="G78" s="658"/>
      <c r="H78" s="660"/>
      <c r="I78" s="659"/>
      <c r="J78" s="659"/>
      <c r="K78" s="659"/>
      <c r="L78" s="659" t="s">
        <v>483</v>
      </c>
      <c r="M78" s="659"/>
      <c r="N78" s="659"/>
      <c r="O78" s="659"/>
      <c r="P78" s="659"/>
      <c r="Q78" s="659"/>
      <c r="R78" s="659"/>
      <c r="S78" s="659"/>
      <c r="T78" s="659"/>
      <c r="U78" s="659"/>
      <c r="V78" s="659"/>
      <c r="W78" s="659"/>
      <c r="X78" s="659"/>
      <c r="Y78" s="659"/>
      <c r="Z78" s="659"/>
      <c r="AA78" s="659"/>
      <c r="AB78" s="659"/>
      <c r="AC78" s="659"/>
      <c r="AD78" s="659"/>
      <c r="AE78" s="659"/>
    </row>
    <row r="79" spans="1:31" s="650" customFormat="1" ht="13.8">
      <c r="A79" s="654"/>
      <c r="B79" s="654"/>
      <c r="C79" s="655"/>
      <c r="D79" s="656"/>
      <c r="E79" s="657"/>
      <c r="G79" s="658"/>
      <c r="H79" s="660"/>
      <c r="I79" s="659"/>
      <c r="J79" s="659"/>
      <c r="K79" s="659"/>
      <c r="L79" s="659" t="s">
        <v>484</v>
      </c>
      <c r="M79" s="659"/>
      <c r="N79" s="659"/>
      <c r="O79" s="659"/>
      <c r="P79" s="659"/>
      <c r="Q79" s="659"/>
      <c r="R79" s="659"/>
      <c r="S79" s="659"/>
      <c r="T79" s="659"/>
      <c r="U79" s="659"/>
      <c r="V79" s="659"/>
      <c r="W79" s="659"/>
      <c r="X79" s="659"/>
      <c r="Y79" s="659"/>
      <c r="Z79" s="659"/>
      <c r="AA79" s="659"/>
      <c r="AB79" s="659"/>
      <c r="AC79" s="659"/>
      <c r="AD79" s="659"/>
      <c r="AE79" s="659"/>
    </row>
    <row r="80" spans="1:31" s="650" customFormat="1" ht="13.8">
      <c r="A80" s="654"/>
      <c r="B80" s="654"/>
      <c r="C80" s="655"/>
      <c r="D80" s="656"/>
      <c r="E80" s="657"/>
      <c r="G80" s="658"/>
      <c r="H80" s="660"/>
      <c r="I80" s="659"/>
      <c r="J80" s="659"/>
      <c r="K80" s="659">
        <v>1</v>
      </c>
      <c r="L80" s="650" t="s">
        <v>455</v>
      </c>
      <c r="M80" s="659"/>
      <c r="N80" s="659"/>
      <c r="O80" s="659"/>
      <c r="P80" s="659"/>
      <c r="Q80" s="659"/>
      <c r="R80" s="659"/>
      <c r="S80" s="659"/>
      <c r="T80" s="659"/>
      <c r="U80" s="659"/>
      <c r="V80" s="659"/>
      <c r="W80" s="659"/>
      <c r="X80" s="659"/>
      <c r="Y80" s="659"/>
      <c r="Z80" s="659"/>
      <c r="AA80" s="659"/>
      <c r="AB80" s="659"/>
      <c r="AC80" s="659"/>
      <c r="AD80" s="659"/>
      <c r="AE80" s="659"/>
    </row>
    <row r="81" spans="1:31" s="650" customFormat="1" ht="13.8">
      <c r="A81" s="654"/>
      <c r="B81" s="654"/>
      <c r="C81" s="655"/>
      <c r="D81" s="656"/>
      <c r="E81" s="657"/>
      <c r="G81" s="658"/>
      <c r="H81" s="660"/>
      <c r="I81" s="659"/>
      <c r="J81" s="659"/>
      <c r="K81" s="659">
        <v>2</v>
      </c>
      <c r="L81" s="659" t="s">
        <v>467</v>
      </c>
      <c r="M81" s="659"/>
      <c r="N81" s="659"/>
      <c r="O81" s="659"/>
      <c r="P81" s="659"/>
      <c r="Q81" s="659"/>
      <c r="R81" s="659"/>
      <c r="S81" s="659"/>
      <c r="T81" s="659"/>
      <c r="U81" s="659"/>
      <c r="V81" s="659"/>
      <c r="W81" s="659"/>
      <c r="X81" s="659"/>
      <c r="Y81" s="659"/>
      <c r="Z81" s="659"/>
      <c r="AA81" s="659"/>
      <c r="AB81" s="659"/>
      <c r="AC81" s="659"/>
      <c r="AD81" s="659"/>
      <c r="AE81" s="659"/>
    </row>
    <row r="82" spans="1:31" s="650" customFormat="1" ht="13.8">
      <c r="A82" s="654"/>
      <c r="B82" s="654"/>
      <c r="C82" s="655"/>
      <c r="D82" s="656"/>
      <c r="E82" s="657"/>
      <c r="G82" s="658"/>
      <c r="H82" s="660"/>
      <c r="I82" s="659"/>
      <c r="J82" s="659"/>
      <c r="K82" s="659">
        <v>3</v>
      </c>
      <c r="L82" s="659" t="s">
        <v>456</v>
      </c>
      <c r="M82" s="659"/>
      <c r="N82" s="659"/>
      <c r="O82" s="659"/>
      <c r="P82" s="659"/>
      <c r="Q82" s="659"/>
      <c r="R82" s="659"/>
      <c r="S82" s="659"/>
      <c r="T82" s="659"/>
      <c r="U82" s="659"/>
      <c r="V82" s="659"/>
      <c r="W82" s="659"/>
      <c r="X82" s="659"/>
      <c r="Y82" s="659"/>
      <c r="Z82" s="659"/>
      <c r="AA82" s="659"/>
      <c r="AB82" s="659"/>
      <c r="AC82" s="659"/>
      <c r="AD82" s="659"/>
      <c r="AE82" s="659"/>
    </row>
    <row r="83" spans="1:31" s="650" customFormat="1" ht="13.8">
      <c r="A83" s="654"/>
      <c r="B83" s="654"/>
      <c r="C83" s="655"/>
      <c r="D83" s="656"/>
      <c r="E83" s="657"/>
      <c r="G83" s="658"/>
      <c r="H83" s="660"/>
      <c r="I83" s="659"/>
      <c r="J83" s="659"/>
      <c r="K83" s="659"/>
      <c r="L83" s="758" t="s">
        <v>460</v>
      </c>
      <c r="M83" s="659"/>
      <c r="N83" s="659"/>
      <c r="O83" s="659"/>
      <c r="P83" s="659"/>
      <c r="Q83" s="659"/>
      <c r="R83" s="659"/>
      <c r="S83" s="659"/>
      <c r="T83" s="659"/>
      <c r="U83" s="659"/>
      <c r="V83" s="659"/>
      <c r="W83" s="659"/>
      <c r="X83" s="659"/>
      <c r="Y83" s="659"/>
      <c r="Z83" s="659"/>
      <c r="AA83" s="659"/>
      <c r="AB83" s="659"/>
      <c r="AC83" s="659"/>
      <c r="AD83" s="659"/>
      <c r="AE83" s="659"/>
    </row>
    <row r="84" spans="1:31" s="650" customFormat="1" ht="13.8">
      <c r="A84" s="654"/>
      <c r="B84" s="654"/>
      <c r="C84" s="655"/>
      <c r="D84" s="656"/>
      <c r="E84" s="657"/>
      <c r="G84" s="658"/>
      <c r="H84" s="660"/>
      <c r="I84" s="659"/>
      <c r="J84" s="659"/>
      <c r="K84" s="659"/>
      <c r="M84" s="659"/>
      <c r="N84" s="659"/>
      <c r="O84" s="659"/>
      <c r="P84" s="659"/>
      <c r="Q84" s="659"/>
      <c r="R84" s="659"/>
      <c r="S84" s="659"/>
      <c r="T84" s="659"/>
      <c r="U84" s="659"/>
      <c r="V84" s="659"/>
      <c r="W84" s="659"/>
      <c r="X84" s="659"/>
      <c r="Y84" s="659"/>
      <c r="Z84" s="659"/>
      <c r="AA84" s="659"/>
      <c r="AB84" s="659"/>
      <c r="AC84" s="659"/>
      <c r="AD84" s="659"/>
      <c r="AE84" s="659"/>
    </row>
    <row r="85" spans="1:31" s="650" customFormat="1" ht="13.8">
      <c r="A85" s="654"/>
      <c r="B85" s="654"/>
      <c r="C85" s="655"/>
      <c r="D85" s="656"/>
      <c r="E85" s="657"/>
      <c r="G85" s="658"/>
      <c r="H85" s="667" t="s">
        <v>471</v>
      </c>
      <c r="I85" s="659"/>
      <c r="J85" s="659"/>
      <c r="K85" s="659"/>
      <c r="L85" s="659" t="s">
        <v>473</v>
      </c>
      <c r="M85" s="659"/>
      <c r="N85" s="659"/>
      <c r="O85" s="659"/>
      <c r="P85" s="659"/>
      <c r="Q85" s="659"/>
      <c r="R85" s="659"/>
      <c r="S85" s="659"/>
      <c r="T85" s="659"/>
      <c r="U85" s="659"/>
      <c r="V85" s="659"/>
      <c r="W85" s="659"/>
      <c r="X85" s="659"/>
      <c r="Y85" s="659"/>
      <c r="Z85" s="659"/>
      <c r="AA85" s="659"/>
      <c r="AB85" s="659"/>
      <c r="AC85" s="659"/>
      <c r="AD85" s="659"/>
      <c r="AE85" s="659"/>
    </row>
    <row r="86" spans="1:31" s="650" customFormat="1" ht="13.8">
      <c r="A86" s="654"/>
      <c r="B86" s="654"/>
      <c r="C86" s="655"/>
      <c r="D86" s="656"/>
      <c r="E86" s="657"/>
      <c r="G86" s="658"/>
      <c r="H86" s="660"/>
      <c r="I86" s="659"/>
      <c r="J86" s="659"/>
      <c r="K86" s="659">
        <v>1</v>
      </c>
      <c r="L86" s="659" t="s">
        <v>457</v>
      </c>
      <c r="M86" s="659"/>
      <c r="N86" s="659"/>
      <c r="O86" s="659"/>
      <c r="P86" s="659"/>
      <c r="Q86" s="659"/>
      <c r="R86" s="659"/>
      <c r="S86" s="659"/>
      <c r="T86" s="659"/>
      <c r="U86" s="659"/>
      <c r="V86" s="659"/>
      <c r="W86" s="659"/>
      <c r="X86" s="659"/>
      <c r="Y86" s="659"/>
      <c r="Z86" s="659"/>
      <c r="AA86" s="659"/>
      <c r="AB86" s="659"/>
      <c r="AC86" s="659"/>
      <c r="AD86" s="659"/>
      <c r="AE86" s="659"/>
    </row>
    <row r="87" spans="1:31" s="650" customFormat="1" ht="13.8">
      <c r="A87" s="654"/>
      <c r="B87" s="654"/>
      <c r="C87" s="655"/>
      <c r="D87" s="656"/>
      <c r="E87" s="657"/>
      <c r="G87" s="658"/>
      <c r="H87" s="660"/>
      <c r="I87" s="659"/>
      <c r="J87" s="659"/>
      <c r="K87" s="659">
        <v>2</v>
      </c>
      <c r="L87" s="659" t="s">
        <v>468</v>
      </c>
      <c r="M87" s="659"/>
      <c r="N87" s="659"/>
      <c r="O87" s="659"/>
      <c r="P87" s="659"/>
      <c r="Q87" s="659"/>
      <c r="R87" s="659"/>
      <c r="S87" s="659"/>
      <c r="T87" s="659"/>
      <c r="U87" s="659"/>
      <c r="V87" s="659"/>
      <c r="W87" s="659"/>
      <c r="X87" s="659"/>
      <c r="Y87" s="659"/>
      <c r="Z87" s="659"/>
      <c r="AA87" s="659"/>
      <c r="AB87" s="659"/>
      <c r="AC87" s="659"/>
      <c r="AD87" s="659"/>
      <c r="AE87" s="659"/>
    </row>
    <row r="88" spans="1:31" s="650" customFormat="1" ht="13.8">
      <c r="A88" s="654"/>
      <c r="B88" s="654"/>
      <c r="C88" s="655"/>
      <c r="D88" s="656"/>
      <c r="E88" s="657"/>
      <c r="G88" s="658"/>
      <c r="H88" s="660"/>
      <c r="I88" s="659"/>
      <c r="J88" s="659"/>
      <c r="K88" s="659">
        <v>3</v>
      </c>
      <c r="L88" s="650" t="s">
        <v>458</v>
      </c>
      <c r="M88" s="659"/>
      <c r="N88" s="659"/>
      <c r="O88" s="659"/>
      <c r="P88" s="659"/>
      <c r="Q88" s="659"/>
      <c r="R88" s="659"/>
      <c r="S88" s="659"/>
      <c r="T88" s="659"/>
      <c r="U88" s="659"/>
      <c r="V88" s="659"/>
      <c r="W88" s="659"/>
      <c r="X88" s="659"/>
      <c r="Y88" s="659"/>
      <c r="Z88" s="659"/>
      <c r="AA88" s="659"/>
      <c r="AB88" s="659"/>
      <c r="AC88" s="659"/>
      <c r="AD88" s="659"/>
      <c r="AE88" s="659"/>
    </row>
    <row r="89" spans="1:31" s="650" customFormat="1" ht="13.8">
      <c r="A89" s="654"/>
      <c r="B89" s="654"/>
      <c r="C89" s="655"/>
      <c r="D89" s="656"/>
      <c r="E89" s="657"/>
      <c r="G89" s="658"/>
      <c r="H89" s="660"/>
      <c r="I89" s="659"/>
      <c r="J89" s="659"/>
      <c r="K89" s="659">
        <v>4</v>
      </c>
      <c r="L89" s="650" t="s">
        <v>657</v>
      </c>
      <c r="M89" s="659"/>
      <c r="N89" s="659"/>
      <c r="O89" s="659"/>
      <c r="P89" s="659"/>
      <c r="Q89" s="659"/>
      <c r="R89" s="659"/>
      <c r="S89" s="659"/>
      <c r="T89" s="659"/>
      <c r="U89" s="659"/>
      <c r="V89" s="659"/>
      <c r="W89" s="659"/>
      <c r="X89" s="659"/>
      <c r="Y89" s="659"/>
      <c r="Z89" s="659"/>
      <c r="AA89" s="659"/>
      <c r="AB89" s="659"/>
      <c r="AC89" s="659"/>
      <c r="AD89" s="659"/>
      <c r="AE89" s="659"/>
    </row>
    <row r="90" spans="1:31" s="650" customFormat="1" ht="13.8">
      <c r="A90" s="654"/>
      <c r="B90" s="654"/>
      <c r="C90" s="655"/>
      <c r="D90" s="656"/>
      <c r="E90" s="657"/>
      <c r="G90" s="658"/>
      <c r="H90" s="660"/>
      <c r="I90" s="659"/>
      <c r="J90" s="659"/>
      <c r="K90" s="659">
        <v>5</v>
      </c>
      <c r="L90" s="659" t="s">
        <v>459</v>
      </c>
      <c r="M90" s="659"/>
      <c r="N90" s="659"/>
      <c r="O90" s="659"/>
      <c r="P90" s="659"/>
      <c r="Q90" s="659"/>
      <c r="R90" s="659"/>
      <c r="S90" s="659"/>
      <c r="T90" s="659"/>
      <c r="U90" s="659"/>
      <c r="V90" s="659"/>
      <c r="W90" s="659"/>
      <c r="X90" s="659"/>
      <c r="Y90" s="659"/>
      <c r="Z90" s="659"/>
      <c r="AA90" s="659"/>
      <c r="AB90" s="659"/>
      <c r="AC90" s="659"/>
      <c r="AD90" s="659"/>
      <c r="AE90" s="659"/>
    </row>
    <row r="91" spans="1:31" s="650" customFormat="1" ht="13.8">
      <c r="A91" s="654"/>
      <c r="B91" s="654"/>
      <c r="C91" s="655"/>
      <c r="D91" s="656"/>
      <c r="E91" s="657"/>
      <c r="G91" s="658"/>
      <c r="H91" s="660"/>
      <c r="I91" s="659"/>
      <c r="J91" s="659"/>
      <c r="K91" s="659">
        <v>6</v>
      </c>
      <c r="L91" s="659" t="s">
        <v>658</v>
      </c>
      <c r="M91" s="659"/>
      <c r="N91" s="659"/>
      <c r="O91" s="659"/>
      <c r="P91" s="659"/>
      <c r="Q91" s="659"/>
      <c r="R91" s="659"/>
      <c r="S91" s="659"/>
      <c r="T91" s="659"/>
      <c r="U91" s="659"/>
      <c r="V91" s="659"/>
      <c r="W91" s="659"/>
      <c r="X91" s="659"/>
      <c r="Y91" s="659"/>
      <c r="Z91" s="659"/>
      <c r="AA91" s="659"/>
      <c r="AB91" s="659"/>
      <c r="AC91" s="659"/>
      <c r="AD91" s="659"/>
      <c r="AE91" s="659"/>
    </row>
    <row r="92" spans="1:31" s="650" customFormat="1" ht="13.8">
      <c r="A92" s="654"/>
      <c r="B92" s="654"/>
      <c r="C92" s="655"/>
      <c r="D92" s="656"/>
      <c r="E92" s="657"/>
      <c r="G92" s="658"/>
      <c r="H92" s="660"/>
      <c r="I92" s="659"/>
      <c r="J92" s="659"/>
      <c r="K92" s="659"/>
      <c r="L92" s="758" t="s">
        <v>460</v>
      </c>
      <c r="M92" s="659"/>
      <c r="N92" s="659"/>
      <c r="O92" s="659"/>
      <c r="P92" s="659"/>
      <c r="Q92" s="659"/>
      <c r="R92" s="659"/>
      <c r="S92" s="659"/>
      <c r="T92" s="659"/>
      <c r="U92" s="659"/>
      <c r="V92" s="659"/>
      <c r="W92" s="659"/>
      <c r="X92" s="659"/>
      <c r="Y92" s="659"/>
      <c r="Z92" s="659"/>
      <c r="AA92" s="659"/>
      <c r="AB92" s="659"/>
      <c r="AC92" s="659"/>
      <c r="AD92" s="659"/>
      <c r="AE92" s="659"/>
    </row>
    <row r="93" spans="1:31" s="650" customFormat="1" ht="13.8">
      <c r="A93" s="654"/>
      <c r="B93" s="654"/>
      <c r="C93" s="655"/>
      <c r="D93" s="656"/>
      <c r="E93" s="657"/>
      <c r="G93" s="658"/>
      <c r="H93" s="660"/>
      <c r="I93" s="659"/>
      <c r="J93" s="659"/>
      <c r="K93" s="659"/>
      <c r="L93" s="666"/>
      <c r="M93" s="659"/>
      <c r="N93" s="659"/>
      <c r="O93" s="659"/>
      <c r="P93" s="659"/>
      <c r="Q93" s="659"/>
      <c r="R93" s="659"/>
      <c r="S93" s="659"/>
      <c r="T93" s="659"/>
      <c r="U93" s="659"/>
      <c r="V93" s="659"/>
      <c r="W93" s="659"/>
      <c r="X93" s="659"/>
      <c r="Y93" s="659"/>
      <c r="Z93" s="659"/>
      <c r="AA93" s="659"/>
      <c r="AB93" s="659"/>
      <c r="AC93" s="659"/>
      <c r="AD93" s="659"/>
      <c r="AE93" s="659"/>
    </row>
    <row r="94" spans="1:31" s="650" customFormat="1" ht="13.8">
      <c r="A94" s="654"/>
      <c r="B94" s="654"/>
      <c r="C94" s="655"/>
      <c r="D94" s="656"/>
      <c r="E94" s="657"/>
      <c r="G94" s="658"/>
      <c r="H94" s="667" t="s">
        <v>472</v>
      </c>
      <c r="I94" s="659"/>
      <c r="J94" s="659"/>
      <c r="K94" s="659"/>
      <c r="L94" s="659" t="s">
        <v>474</v>
      </c>
      <c r="M94" s="659"/>
      <c r="N94" s="659"/>
      <c r="O94" s="659"/>
      <c r="P94" s="659"/>
      <c r="Q94" s="659"/>
      <c r="R94" s="659"/>
      <c r="S94" s="659"/>
      <c r="T94" s="659"/>
      <c r="U94" s="659"/>
      <c r="V94" s="659"/>
      <c r="W94" s="659"/>
      <c r="X94" s="659"/>
      <c r="Y94" s="659"/>
      <c r="Z94" s="659"/>
      <c r="AA94" s="659"/>
      <c r="AB94" s="659"/>
      <c r="AC94" s="659"/>
      <c r="AD94" s="659"/>
      <c r="AE94" s="659"/>
    </row>
    <row r="95" spans="1:31" s="650" customFormat="1" ht="13.8">
      <c r="A95" s="654"/>
      <c r="B95" s="654"/>
      <c r="C95" s="655"/>
      <c r="D95" s="656"/>
      <c r="E95" s="657"/>
      <c r="G95" s="658"/>
      <c r="H95" s="660"/>
      <c r="I95" s="659"/>
      <c r="J95" s="659"/>
      <c r="K95" s="659">
        <v>1</v>
      </c>
      <c r="L95" s="659" t="s">
        <v>475</v>
      </c>
      <c r="M95" s="659"/>
      <c r="N95" s="659"/>
      <c r="O95" s="659"/>
      <c r="P95" s="659"/>
      <c r="Q95" s="659"/>
      <c r="R95" s="659"/>
      <c r="S95" s="659"/>
      <c r="T95" s="659"/>
      <c r="U95" s="659"/>
      <c r="V95" s="659"/>
      <c r="W95" s="659"/>
      <c r="X95" s="659"/>
      <c r="Y95" s="659"/>
      <c r="Z95" s="659"/>
      <c r="AA95" s="659"/>
      <c r="AB95" s="659"/>
      <c r="AC95" s="659"/>
      <c r="AD95" s="659"/>
      <c r="AE95" s="659"/>
    </row>
    <row r="96" spans="1:31" s="650" customFormat="1" ht="13.8">
      <c r="A96" s="654"/>
      <c r="B96" s="654"/>
      <c r="C96" s="655"/>
      <c r="D96" s="656"/>
      <c r="E96" s="657"/>
      <c r="G96" s="658"/>
      <c r="H96" s="660"/>
      <c r="I96" s="659"/>
      <c r="J96" s="659"/>
      <c r="K96" s="659">
        <v>2</v>
      </c>
      <c r="L96" s="659" t="s">
        <v>476</v>
      </c>
      <c r="M96" s="659"/>
      <c r="N96" s="659"/>
      <c r="O96" s="659"/>
      <c r="P96" s="659"/>
      <c r="Q96" s="659"/>
      <c r="R96" s="659"/>
      <c r="S96" s="659"/>
      <c r="T96" s="659"/>
      <c r="U96" s="659"/>
      <c r="V96" s="659"/>
      <c r="W96" s="659"/>
      <c r="X96" s="659"/>
      <c r="Y96" s="659"/>
      <c r="Z96" s="659"/>
      <c r="AA96" s="659"/>
      <c r="AB96" s="659"/>
      <c r="AC96" s="659"/>
      <c r="AD96" s="659"/>
      <c r="AE96" s="659"/>
    </row>
    <row r="97" spans="1:31" s="650" customFormat="1" ht="13.8">
      <c r="A97" s="654"/>
      <c r="B97" s="654"/>
      <c r="C97" s="655"/>
      <c r="D97" s="656"/>
      <c r="E97" s="657"/>
      <c r="G97" s="658"/>
      <c r="H97" s="660"/>
      <c r="I97" s="659"/>
      <c r="J97" s="659"/>
      <c r="K97" s="659">
        <v>3</v>
      </c>
      <c r="L97" s="659" t="s">
        <v>477</v>
      </c>
      <c r="M97" s="659"/>
      <c r="N97" s="659"/>
      <c r="O97" s="659"/>
      <c r="P97" s="659"/>
      <c r="Q97" s="659"/>
      <c r="R97" s="659"/>
      <c r="S97" s="659"/>
      <c r="T97" s="659"/>
      <c r="U97" s="659"/>
      <c r="V97" s="659"/>
      <c r="W97" s="659"/>
      <c r="X97" s="659"/>
      <c r="Y97" s="659"/>
      <c r="Z97" s="659"/>
      <c r="AA97" s="659"/>
      <c r="AB97" s="659"/>
      <c r="AC97" s="659"/>
      <c r="AD97" s="659"/>
      <c r="AE97" s="659"/>
    </row>
    <row r="98" spans="1:31" s="650" customFormat="1" ht="13.8">
      <c r="A98" s="654"/>
      <c r="B98" s="654"/>
      <c r="C98" s="655"/>
      <c r="D98" s="656"/>
      <c r="E98" s="657"/>
      <c r="G98" s="658"/>
      <c r="H98" s="660"/>
      <c r="I98" s="659"/>
      <c r="J98" s="659"/>
      <c r="K98" s="659">
        <v>4</v>
      </c>
      <c r="L98" s="659" t="s">
        <v>478</v>
      </c>
      <c r="M98" s="659"/>
      <c r="N98" s="659"/>
      <c r="O98" s="659"/>
      <c r="P98" s="659"/>
      <c r="Q98" s="659"/>
      <c r="R98" s="659"/>
      <c r="S98" s="659"/>
      <c r="T98" s="659"/>
      <c r="U98" s="659"/>
      <c r="V98" s="659"/>
      <c r="W98" s="659"/>
      <c r="X98" s="659"/>
      <c r="Y98" s="659"/>
      <c r="Z98" s="659"/>
      <c r="AA98" s="659"/>
      <c r="AB98" s="659"/>
      <c r="AC98" s="659"/>
      <c r="AD98" s="659"/>
      <c r="AE98" s="659"/>
    </row>
    <row r="99" spans="1:31" s="650" customFormat="1" ht="13.8">
      <c r="A99" s="654"/>
      <c r="B99" s="654"/>
      <c r="C99" s="655"/>
      <c r="D99" s="656"/>
      <c r="E99" s="657"/>
      <c r="G99" s="658"/>
      <c r="H99" s="660"/>
      <c r="I99" s="659"/>
      <c r="J99" s="659"/>
      <c r="K99" s="659"/>
      <c r="L99" s="666" t="s">
        <v>460</v>
      </c>
      <c r="M99" s="659"/>
      <c r="N99" s="659"/>
      <c r="O99" s="659"/>
      <c r="P99" s="659"/>
      <c r="Q99" s="659"/>
      <c r="R99" s="659"/>
      <c r="S99" s="659"/>
      <c r="T99" s="659"/>
      <c r="U99" s="659"/>
      <c r="V99" s="659"/>
      <c r="W99" s="659"/>
      <c r="X99" s="659"/>
      <c r="Y99" s="659"/>
      <c r="Z99" s="659"/>
      <c r="AA99" s="659"/>
      <c r="AB99" s="659"/>
      <c r="AC99" s="659"/>
      <c r="AD99" s="659"/>
      <c r="AE99" s="659"/>
    </row>
    <row r="100" spans="1:31" s="650" customFormat="1" ht="13.8">
      <c r="A100" s="654"/>
      <c r="B100" s="654"/>
      <c r="C100" s="655"/>
      <c r="D100" s="656"/>
      <c r="E100" s="657"/>
      <c r="G100" s="658"/>
      <c r="H100" s="660"/>
      <c r="I100" s="659"/>
      <c r="J100" s="659"/>
      <c r="K100" s="659"/>
      <c r="L100" s="666"/>
      <c r="M100" s="659"/>
      <c r="N100" s="659"/>
      <c r="O100" s="659"/>
      <c r="P100" s="659"/>
      <c r="Q100" s="659"/>
      <c r="R100" s="659"/>
      <c r="S100" s="659"/>
      <c r="T100" s="659"/>
      <c r="U100" s="659"/>
      <c r="V100" s="659"/>
      <c r="W100" s="659"/>
      <c r="X100" s="659"/>
      <c r="Y100" s="659"/>
      <c r="Z100" s="659"/>
      <c r="AA100" s="659"/>
      <c r="AB100" s="659"/>
      <c r="AC100" s="659"/>
      <c r="AD100" s="659"/>
      <c r="AE100" s="659"/>
    </row>
    <row r="101" spans="1:31" s="650" customFormat="1" ht="14.4" thickBot="1">
      <c r="A101" s="654"/>
      <c r="B101" s="654"/>
      <c r="C101" s="655"/>
      <c r="D101" s="656"/>
      <c r="E101" s="657"/>
      <c r="G101" s="658"/>
      <c r="H101" s="660" t="s">
        <v>612</v>
      </c>
      <c r="I101" s="659"/>
      <c r="J101" s="659"/>
      <c r="K101" s="659"/>
      <c r="L101" s="666"/>
      <c r="M101" s="659"/>
      <c r="N101" s="659"/>
      <c r="O101" s="659"/>
      <c r="P101" s="659"/>
      <c r="Q101" s="659"/>
      <c r="R101" s="659"/>
      <c r="S101" s="659"/>
      <c r="T101" s="659"/>
      <c r="U101" s="659"/>
      <c r="V101" s="659"/>
      <c r="W101" s="659"/>
      <c r="X101" s="659"/>
      <c r="Y101" s="659"/>
      <c r="Z101" s="659"/>
      <c r="AA101" s="659"/>
      <c r="AB101" s="659"/>
      <c r="AC101" s="659"/>
      <c r="AD101" s="659"/>
      <c r="AE101" s="659"/>
    </row>
    <row r="102" spans="1:31" s="650" customFormat="1" ht="14.55" customHeight="1" thickBot="1">
      <c r="A102" s="654"/>
      <c r="B102" s="654"/>
      <c r="C102" s="655"/>
      <c r="D102" s="656"/>
      <c r="E102" s="657"/>
      <c r="G102" s="658"/>
      <c r="H102" s="807" t="s">
        <v>581</v>
      </c>
      <c r="I102" s="808"/>
      <c r="J102" s="808"/>
      <c r="K102" s="808"/>
      <c r="L102" s="803" t="s">
        <v>578</v>
      </c>
      <c r="M102" s="803"/>
      <c r="N102" s="803"/>
      <c r="O102" s="803"/>
      <c r="P102" s="803"/>
      <c r="Q102" s="803"/>
      <c r="R102" s="803" t="s">
        <v>205</v>
      </c>
      <c r="S102" s="803"/>
      <c r="T102" s="803"/>
      <c r="U102" s="803"/>
      <c r="V102" s="803"/>
      <c r="W102" s="803"/>
      <c r="X102" s="803"/>
      <c r="Y102" s="803"/>
      <c r="Z102" s="803"/>
      <c r="AA102" s="803"/>
      <c r="AB102" s="816"/>
      <c r="AC102" s="659"/>
      <c r="AD102" s="659"/>
      <c r="AE102" s="659"/>
    </row>
    <row r="103" spans="1:31" s="650" customFormat="1" ht="72.599999999999994" customHeight="1">
      <c r="A103" s="654"/>
      <c r="B103" s="654"/>
      <c r="C103" s="655"/>
      <c r="D103" s="656"/>
      <c r="E103" s="657"/>
      <c r="G103" s="658"/>
      <c r="H103" s="809" t="str">
        <f>GraphData!F14</f>
        <v>RCV</v>
      </c>
      <c r="I103" s="810"/>
      <c r="J103" s="810"/>
      <c r="K103" s="810"/>
      <c r="L103" s="804" t="s">
        <v>607</v>
      </c>
      <c r="M103" s="804"/>
      <c r="N103" s="804"/>
      <c r="O103" s="804"/>
      <c r="P103" s="804"/>
      <c r="Q103" s="804"/>
      <c r="R103" s="804" t="s">
        <v>588</v>
      </c>
      <c r="S103" s="804"/>
      <c r="T103" s="804"/>
      <c r="U103" s="804"/>
      <c r="V103" s="804"/>
      <c r="W103" s="804"/>
      <c r="X103" s="804"/>
      <c r="Y103" s="804"/>
      <c r="Z103" s="804"/>
      <c r="AA103" s="804"/>
      <c r="AB103" s="817"/>
      <c r="AC103" s="659"/>
      <c r="AD103" s="659"/>
      <c r="AE103" s="659"/>
    </row>
    <row r="104" spans="1:31" s="650" customFormat="1" ht="59.1" customHeight="1">
      <c r="A104" s="654"/>
      <c r="B104" s="654"/>
      <c r="C104" s="655"/>
      <c r="D104" s="656"/>
      <c r="E104" s="657"/>
      <c r="G104" s="658"/>
      <c r="H104" s="805" t="str">
        <f>GraphData!F15</f>
        <v>Totex</v>
      </c>
      <c r="I104" s="806"/>
      <c r="J104" s="806"/>
      <c r="K104" s="806"/>
      <c r="L104" s="813" t="s">
        <v>584</v>
      </c>
      <c r="M104" s="813"/>
      <c r="N104" s="813"/>
      <c r="O104" s="813"/>
      <c r="P104" s="813"/>
      <c r="Q104" s="813"/>
      <c r="R104" s="813" t="s">
        <v>589</v>
      </c>
      <c r="S104" s="813"/>
      <c r="T104" s="813"/>
      <c r="U104" s="813"/>
      <c r="V104" s="813"/>
      <c r="W104" s="813"/>
      <c r="X104" s="813"/>
      <c r="Y104" s="813"/>
      <c r="Z104" s="813"/>
      <c r="AA104" s="813"/>
      <c r="AB104" s="818"/>
      <c r="AC104" s="659"/>
      <c r="AD104" s="659"/>
      <c r="AE104" s="659"/>
    </row>
    <row r="105" spans="1:31" s="650" customFormat="1" ht="45.6" customHeight="1">
      <c r="A105" s="654"/>
      <c r="B105" s="654"/>
      <c r="C105" s="655"/>
      <c r="D105" s="656"/>
      <c r="E105" s="657"/>
      <c r="G105" s="658"/>
      <c r="H105" s="805" t="str">
        <f>GraphData!F16</f>
        <v>PAYG%</v>
      </c>
      <c r="I105" s="806"/>
      <c r="J105" s="806"/>
      <c r="K105" s="806"/>
      <c r="L105" s="813" t="s">
        <v>585</v>
      </c>
      <c r="M105" s="813"/>
      <c r="N105" s="813"/>
      <c r="O105" s="813"/>
      <c r="P105" s="813"/>
      <c r="Q105" s="813"/>
      <c r="R105" s="813" t="s">
        <v>590</v>
      </c>
      <c r="S105" s="813"/>
      <c r="T105" s="813"/>
      <c r="U105" s="813"/>
      <c r="V105" s="813"/>
      <c r="W105" s="813"/>
      <c r="X105" s="813"/>
      <c r="Y105" s="813"/>
      <c r="Z105" s="813"/>
      <c r="AA105" s="813"/>
      <c r="AB105" s="818"/>
      <c r="AC105" s="659"/>
      <c r="AD105" s="659"/>
      <c r="AE105" s="659"/>
    </row>
    <row r="106" spans="1:31" s="650" customFormat="1" ht="45.6" customHeight="1">
      <c r="A106" s="654"/>
      <c r="B106" s="654"/>
      <c r="C106" s="655"/>
      <c r="D106" s="656"/>
      <c r="E106" s="657"/>
      <c r="G106" s="658"/>
      <c r="H106" s="805" t="str">
        <f>GraphData!F17</f>
        <v>Run-off rate</v>
      </c>
      <c r="I106" s="806"/>
      <c r="J106" s="806"/>
      <c r="K106" s="806"/>
      <c r="L106" s="813" t="s">
        <v>586</v>
      </c>
      <c r="M106" s="813"/>
      <c r="N106" s="813"/>
      <c r="O106" s="813"/>
      <c r="P106" s="813"/>
      <c r="Q106" s="813"/>
      <c r="R106" s="813" t="s">
        <v>591</v>
      </c>
      <c r="S106" s="813"/>
      <c r="T106" s="813"/>
      <c r="U106" s="813"/>
      <c r="V106" s="813"/>
      <c r="W106" s="813"/>
      <c r="X106" s="813"/>
      <c r="Y106" s="813"/>
      <c r="Z106" s="813"/>
      <c r="AA106" s="813"/>
      <c r="AB106" s="818"/>
      <c r="AC106" s="659"/>
      <c r="AD106" s="659"/>
      <c r="AE106" s="659"/>
    </row>
    <row r="107" spans="1:31" s="650" customFormat="1" ht="45.6" customHeight="1">
      <c r="A107" s="654"/>
      <c r="B107" s="654"/>
      <c r="C107" s="655"/>
      <c r="D107" s="656"/>
      <c r="E107" s="657"/>
      <c r="G107" s="658"/>
      <c r="H107" s="805" t="str">
        <f>GraphData!F18</f>
        <v>WACC</v>
      </c>
      <c r="I107" s="806"/>
      <c r="J107" s="806"/>
      <c r="K107" s="806"/>
      <c r="L107" s="813" t="s">
        <v>587</v>
      </c>
      <c r="M107" s="813"/>
      <c r="N107" s="813"/>
      <c r="O107" s="813"/>
      <c r="P107" s="813"/>
      <c r="Q107" s="813"/>
      <c r="R107" s="813" t="s">
        <v>592</v>
      </c>
      <c r="S107" s="813"/>
      <c r="T107" s="813"/>
      <c r="U107" s="813"/>
      <c r="V107" s="813"/>
      <c r="W107" s="813"/>
      <c r="X107" s="813"/>
      <c r="Y107" s="813"/>
      <c r="Z107" s="813"/>
      <c r="AA107" s="813"/>
      <c r="AB107" s="818"/>
      <c r="AC107" s="659"/>
      <c r="AD107" s="659"/>
      <c r="AE107" s="659"/>
    </row>
    <row r="108" spans="1:31" s="650" customFormat="1" ht="30" customHeight="1">
      <c r="A108" s="654"/>
      <c r="B108" s="654"/>
      <c r="C108" s="655"/>
      <c r="D108" s="656"/>
      <c r="E108" s="657"/>
      <c r="G108" s="658"/>
      <c r="H108" s="805" t="str">
        <f>GraphData!F19</f>
        <v>Other wholesale items</v>
      </c>
      <c r="I108" s="806"/>
      <c r="J108" s="806"/>
      <c r="K108" s="806"/>
      <c r="L108" s="813" t="s">
        <v>580</v>
      </c>
      <c r="M108" s="813"/>
      <c r="N108" s="813"/>
      <c r="O108" s="813"/>
      <c r="P108" s="813"/>
      <c r="Q108" s="813"/>
      <c r="R108" s="813" t="s">
        <v>656</v>
      </c>
      <c r="S108" s="813"/>
      <c r="T108" s="813"/>
      <c r="U108" s="813"/>
      <c r="V108" s="813"/>
      <c r="W108" s="813"/>
      <c r="X108" s="813"/>
      <c r="Y108" s="813"/>
      <c r="Z108" s="813"/>
      <c r="AA108" s="813"/>
      <c r="AB108" s="818"/>
      <c r="AC108" s="659"/>
      <c r="AD108" s="659"/>
      <c r="AE108" s="659"/>
    </row>
    <row r="109" spans="1:31" s="650" customFormat="1" ht="31.5" customHeight="1">
      <c r="A109" s="654"/>
      <c r="B109" s="654"/>
      <c r="C109" s="655"/>
      <c r="D109" s="656"/>
      <c r="E109" s="657"/>
      <c r="G109" s="658"/>
      <c r="H109" s="805" t="str">
        <f>GraphData!F20</f>
        <v>Wholesale reconciliations items</v>
      </c>
      <c r="I109" s="806"/>
      <c r="J109" s="806"/>
      <c r="K109" s="806"/>
      <c r="L109" s="813" t="s">
        <v>582</v>
      </c>
      <c r="M109" s="813"/>
      <c r="N109" s="813"/>
      <c r="O109" s="813"/>
      <c r="P109" s="813"/>
      <c r="Q109" s="813"/>
      <c r="R109" s="813" t="s">
        <v>598</v>
      </c>
      <c r="S109" s="813"/>
      <c r="T109" s="813"/>
      <c r="U109" s="813"/>
      <c r="V109" s="813"/>
      <c r="W109" s="813"/>
      <c r="X109" s="813"/>
      <c r="Y109" s="813"/>
      <c r="Z109" s="813"/>
      <c r="AA109" s="813"/>
      <c r="AB109" s="818"/>
      <c r="AC109" s="659"/>
      <c r="AD109" s="659"/>
      <c r="AE109" s="659"/>
    </row>
    <row r="110" spans="1:31" s="650" customFormat="1" ht="13.8">
      <c r="A110" s="654"/>
      <c r="B110" s="654"/>
      <c r="C110" s="655"/>
      <c r="D110" s="656"/>
      <c r="E110" s="657"/>
      <c r="G110" s="658"/>
      <c r="H110" s="805" t="str">
        <f>GraphData!F21</f>
        <v>5th control</v>
      </c>
      <c r="I110" s="806"/>
      <c r="J110" s="806"/>
      <c r="K110" s="806"/>
      <c r="L110" s="813" t="s">
        <v>611</v>
      </c>
      <c r="M110" s="813"/>
      <c r="N110" s="813"/>
      <c r="O110" s="813"/>
      <c r="P110" s="813"/>
      <c r="Q110" s="813"/>
      <c r="R110" s="813" t="s">
        <v>610</v>
      </c>
      <c r="S110" s="813"/>
      <c r="T110" s="813"/>
      <c r="U110" s="813"/>
      <c r="V110" s="813"/>
      <c r="W110" s="813"/>
      <c r="X110" s="813"/>
      <c r="Y110" s="813"/>
      <c r="Z110" s="813"/>
      <c r="AA110" s="813"/>
      <c r="AB110" s="818"/>
      <c r="AC110" s="659"/>
      <c r="AD110" s="659"/>
      <c r="AE110" s="659"/>
    </row>
    <row r="111" spans="1:31" s="650" customFormat="1" ht="43.05" customHeight="1">
      <c r="A111" s="654"/>
      <c r="B111" s="654"/>
      <c r="C111" s="655"/>
      <c r="D111" s="656"/>
      <c r="E111" s="657"/>
      <c r="G111" s="658"/>
      <c r="H111" s="805" t="str">
        <f>GraphData!F22</f>
        <v>retail CTS</v>
      </c>
      <c r="I111" s="806"/>
      <c r="J111" s="806"/>
      <c r="K111" s="806"/>
      <c r="L111" s="813" t="s">
        <v>579</v>
      </c>
      <c r="M111" s="813"/>
      <c r="N111" s="813"/>
      <c r="O111" s="813"/>
      <c r="P111" s="813"/>
      <c r="Q111" s="813"/>
      <c r="R111" s="813" t="s">
        <v>599</v>
      </c>
      <c r="S111" s="813"/>
      <c r="T111" s="813"/>
      <c r="U111" s="813"/>
      <c r="V111" s="813"/>
      <c r="W111" s="813"/>
      <c r="X111" s="813"/>
      <c r="Y111" s="813"/>
      <c r="Z111" s="813"/>
      <c r="AA111" s="813"/>
      <c r="AB111" s="818"/>
      <c r="AC111" s="659"/>
      <c r="AD111" s="659"/>
      <c r="AE111" s="659"/>
    </row>
    <row r="112" spans="1:31" s="650" customFormat="1" ht="42" customHeight="1" thickBot="1">
      <c r="A112" s="654"/>
      <c r="B112" s="654"/>
      <c r="C112" s="655"/>
      <c r="D112" s="656"/>
      <c r="E112" s="657"/>
      <c r="G112" s="658"/>
      <c r="H112" s="811" t="str">
        <f>GraphData!F23</f>
        <v>customer numbers and residential apportionment</v>
      </c>
      <c r="I112" s="812"/>
      <c r="J112" s="812"/>
      <c r="K112" s="812"/>
      <c r="L112" s="814" t="s">
        <v>608</v>
      </c>
      <c r="M112" s="814"/>
      <c r="N112" s="814"/>
      <c r="O112" s="814"/>
      <c r="P112" s="814"/>
      <c r="Q112" s="814"/>
      <c r="R112" s="814" t="s">
        <v>593</v>
      </c>
      <c r="S112" s="814"/>
      <c r="T112" s="814"/>
      <c r="U112" s="814"/>
      <c r="V112" s="814"/>
      <c r="W112" s="814"/>
      <c r="X112" s="814"/>
      <c r="Y112" s="814"/>
      <c r="Z112" s="814"/>
      <c r="AA112" s="814"/>
      <c r="AB112" s="815"/>
      <c r="AC112" s="659"/>
      <c r="AD112" s="659"/>
      <c r="AE112" s="659"/>
    </row>
    <row r="113" spans="1:31" s="650" customFormat="1" ht="13.8">
      <c r="A113" s="654"/>
      <c r="B113" s="654"/>
      <c r="C113" s="655"/>
      <c r="D113" s="656"/>
      <c r="E113" s="657"/>
      <c r="G113" s="658"/>
      <c r="H113" s="660"/>
      <c r="I113" s="659"/>
      <c r="J113" s="659"/>
      <c r="K113" s="659"/>
      <c r="L113" s="666"/>
      <c r="M113" s="659"/>
      <c r="N113" s="659"/>
      <c r="O113" s="659"/>
      <c r="P113" s="659"/>
      <c r="Q113" s="659"/>
      <c r="R113" s="659"/>
      <c r="S113" s="659"/>
      <c r="T113" s="659"/>
      <c r="U113" s="659"/>
      <c r="V113" s="659"/>
      <c r="W113" s="659"/>
      <c r="X113" s="659"/>
      <c r="Y113" s="659"/>
      <c r="Z113" s="659"/>
      <c r="AA113" s="659"/>
      <c r="AB113" s="659"/>
      <c r="AC113" s="659"/>
      <c r="AD113" s="659"/>
      <c r="AE113" s="659"/>
    </row>
    <row r="114" spans="1:31" s="650" customFormat="1" ht="13.8">
      <c r="A114" s="654"/>
      <c r="B114" s="654"/>
      <c r="C114" s="655"/>
      <c r="D114" s="656"/>
      <c r="E114" s="657"/>
      <c r="G114" s="658"/>
      <c r="H114" s="660"/>
      <c r="I114" s="659"/>
      <c r="J114" s="659"/>
      <c r="K114" s="659"/>
      <c r="L114" s="666"/>
      <c r="M114" s="659"/>
      <c r="N114" s="659"/>
      <c r="O114" s="659"/>
      <c r="P114" s="659"/>
      <c r="Q114" s="659"/>
      <c r="R114" s="659"/>
      <c r="S114" s="659"/>
      <c r="T114" s="659"/>
      <c r="U114" s="659"/>
      <c r="V114" s="659"/>
      <c r="W114" s="659"/>
      <c r="X114" s="659"/>
      <c r="Y114" s="659"/>
      <c r="Z114" s="659"/>
      <c r="AA114" s="659"/>
      <c r="AB114" s="659"/>
      <c r="AC114" s="659"/>
      <c r="AD114" s="659"/>
      <c r="AE114" s="659"/>
    </row>
    <row r="115" spans="1:31" s="650" customFormat="1" ht="13.8">
      <c r="A115" s="654"/>
      <c r="B115" s="654"/>
      <c r="C115" s="655"/>
      <c r="D115" s="656"/>
      <c r="E115" s="657"/>
      <c r="G115" s="658"/>
      <c r="H115" s="660"/>
      <c r="I115" s="659"/>
      <c r="J115" s="659"/>
      <c r="K115" s="659"/>
      <c r="L115" s="666"/>
      <c r="M115" s="659"/>
      <c r="N115" s="659"/>
      <c r="O115" s="659"/>
      <c r="P115" s="659"/>
      <c r="Q115" s="659"/>
      <c r="R115" s="659"/>
      <c r="S115" s="659"/>
      <c r="T115" s="659"/>
      <c r="U115" s="659"/>
      <c r="V115" s="659"/>
      <c r="W115" s="659"/>
      <c r="X115" s="659"/>
      <c r="Y115" s="659"/>
      <c r="Z115" s="659"/>
      <c r="AA115" s="659"/>
      <c r="AB115" s="659"/>
      <c r="AC115" s="659"/>
      <c r="AD115" s="659"/>
      <c r="AE115" s="659"/>
    </row>
    <row r="116" spans="1:31" s="650" customFormat="1" ht="13.8">
      <c r="A116" s="654"/>
      <c r="B116" s="654"/>
      <c r="C116" s="655"/>
      <c r="D116" s="656"/>
      <c r="E116" s="657"/>
      <c r="G116" s="658"/>
      <c r="H116" s="660"/>
      <c r="I116" s="659"/>
      <c r="J116" s="659"/>
      <c r="K116" s="659"/>
      <c r="L116" s="666"/>
      <c r="M116" s="659"/>
      <c r="N116" s="659"/>
      <c r="O116" s="659"/>
      <c r="P116" s="659"/>
      <c r="Q116" s="659"/>
      <c r="R116" s="659"/>
      <c r="S116" s="659"/>
      <c r="T116" s="659"/>
      <c r="U116" s="659"/>
      <c r="V116" s="659"/>
      <c r="W116" s="659"/>
      <c r="X116" s="659"/>
      <c r="Y116" s="659"/>
      <c r="Z116" s="659"/>
      <c r="AA116" s="659"/>
      <c r="AB116" s="659"/>
      <c r="AC116" s="659"/>
      <c r="AD116" s="659"/>
      <c r="AE116" s="659"/>
    </row>
    <row r="117" spans="1:31" s="650" customFormat="1" ht="13.8">
      <c r="A117" s="654"/>
      <c r="B117" s="654"/>
      <c r="C117" s="655"/>
      <c r="D117" s="656"/>
      <c r="E117" s="657"/>
      <c r="G117" s="658"/>
      <c r="H117" s="660"/>
      <c r="I117" s="659"/>
      <c r="J117" s="659"/>
      <c r="K117" s="659"/>
      <c r="L117" s="666"/>
      <c r="M117" s="659"/>
      <c r="N117" s="659"/>
      <c r="O117" s="659"/>
      <c r="P117" s="659"/>
      <c r="Q117" s="659"/>
      <c r="R117" s="659"/>
      <c r="S117" s="659"/>
      <c r="T117" s="659"/>
      <c r="U117" s="659"/>
      <c r="V117" s="659"/>
      <c r="W117" s="659"/>
      <c r="X117" s="659"/>
      <c r="Y117" s="659"/>
      <c r="Z117" s="659"/>
      <c r="AA117" s="659"/>
      <c r="AB117" s="659"/>
      <c r="AC117" s="659"/>
      <c r="AD117" s="659"/>
      <c r="AE117" s="659"/>
    </row>
    <row r="118" spans="1:31" s="650" customFormat="1" ht="13.8">
      <c r="A118" s="654"/>
      <c r="B118" s="654"/>
      <c r="C118" s="655"/>
      <c r="D118" s="656"/>
      <c r="E118" s="657"/>
      <c r="G118" s="658"/>
      <c r="H118" s="660"/>
      <c r="I118" s="659"/>
      <c r="J118" s="659"/>
      <c r="K118" s="659"/>
      <c r="L118" s="666"/>
      <c r="M118" s="659"/>
      <c r="N118" s="659"/>
      <c r="O118" s="659"/>
      <c r="P118" s="659"/>
      <c r="Q118" s="659"/>
      <c r="R118" s="659"/>
      <c r="S118" s="659"/>
      <c r="T118" s="659"/>
      <c r="U118" s="659"/>
      <c r="V118" s="659"/>
      <c r="W118" s="659"/>
      <c r="X118" s="659"/>
      <c r="Y118" s="659"/>
      <c r="Z118" s="659"/>
      <c r="AA118" s="659"/>
      <c r="AB118" s="659"/>
      <c r="AC118" s="659"/>
      <c r="AD118" s="659"/>
      <c r="AE118" s="659"/>
    </row>
    <row r="119" spans="1:31" s="650" customFormat="1" ht="13.8">
      <c r="A119" s="654"/>
      <c r="B119" s="654"/>
      <c r="C119" s="655"/>
      <c r="D119" s="656"/>
      <c r="E119" s="657"/>
      <c r="G119" s="658"/>
      <c r="H119" s="660"/>
      <c r="I119" s="659"/>
      <c r="J119" s="659"/>
      <c r="K119" s="659"/>
      <c r="L119" s="666"/>
      <c r="M119" s="659"/>
      <c r="N119" s="659"/>
      <c r="O119" s="659"/>
      <c r="P119" s="659"/>
      <c r="Q119" s="659"/>
      <c r="R119" s="659"/>
      <c r="S119" s="659"/>
      <c r="T119" s="659"/>
      <c r="U119" s="659"/>
      <c r="V119" s="659"/>
      <c r="W119" s="659"/>
      <c r="X119" s="659"/>
      <c r="Y119" s="659"/>
      <c r="Z119" s="659"/>
      <c r="AA119" s="659"/>
      <c r="AB119" s="659"/>
      <c r="AC119" s="659"/>
      <c r="AD119" s="659"/>
      <c r="AE119" s="659"/>
    </row>
    <row r="120" spans="1:31" s="650" customFormat="1" ht="13.8">
      <c r="A120" s="654"/>
      <c r="B120" s="654"/>
      <c r="C120" s="655"/>
      <c r="D120" s="656"/>
      <c r="E120" s="657"/>
      <c r="G120" s="658"/>
      <c r="H120" s="660"/>
      <c r="I120" s="659"/>
      <c r="J120" s="659"/>
      <c r="K120" s="659"/>
      <c r="L120" s="666"/>
      <c r="M120" s="659"/>
      <c r="N120" s="659"/>
      <c r="O120" s="659"/>
      <c r="P120" s="659"/>
      <c r="Q120" s="659"/>
      <c r="R120" s="659"/>
      <c r="S120" s="659"/>
      <c r="T120" s="659"/>
      <c r="U120" s="659"/>
      <c r="V120" s="659"/>
      <c r="W120" s="659"/>
      <c r="X120" s="659"/>
      <c r="Y120" s="659"/>
      <c r="Z120" s="659"/>
      <c r="AA120" s="659"/>
      <c r="AB120" s="659"/>
      <c r="AC120" s="659"/>
      <c r="AD120" s="659"/>
      <c r="AE120" s="659"/>
    </row>
    <row r="121" spans="1:31">
      <c r="L121" s="32"/>
    </row>
    <row r="122" spans="1:31" s="38" customFormat="1">
      <c r="A122" s="38" t="s">
        <v>6</v>
      </c>
      <c r="C122" s="39"/>
      <c r="D122" s="162"/>
      <c r="E122" s="39"/>
      <c r="F122" s="41"/>
    </row>
  </sheetData>
  <mergeCells count="33">
    <mergeCell ref="R112:AB112"/>
    <mergeCell ref="R102:AB102"/>
    <mergeCell ref="R103:AB103"/>
    <mergeCell ref="R104:AB104"/>
    <mergeCell ref="R105:AB105"/>
    <mergeCell ref="R106:AB106"/>
    <mergeCell ref="R107:AB107"/>
    <mergeCell ref="R108:AB108"/>
    <mergeCell ref="R109:AB109"/>
    <mergeCell ref="R110:AB110"/>
    <mergeCell ref="R111:AB111"/>
    <mergeCell ref="H112:K112"/>
    <mergeCell ref="L104:Q104"/>
    <mergeCell ref="L105:Q105"/>
    <mergeCell ref="L106:Q106"/>
    <mergeCell ref="L107:Q107"/>
    <mergeCell ref="L108:Q108"/>
    <mergeCell ref="L109:Q109"/>
    <mergeCell ref="L110:Q110"/>
    <mergeCell ref="L111:Q111"/>
    <mergeCell ref="L112:Q112"/>
    <mergeCell ref="H107:K107"/>
    <mergeCell ref="H111:K111"/>
    <mergeCell ref="L102:Q102"/>
    <mergeCell ref="L103:Q103"/>
    <mergeCell ref="H108:K108"/>
    <mergeCell ref="H109:K109"/>
    <mergeCell ref="H110:K110"/>
    <mergeCell ref="H102:K102"/>
    <mergeCell ref="H103:K103"/>
    <mergeCell ref="H104:K104"/>
    <mergeCell ref="H105:K105"/>
    <mergeCell ref="H106:K106"/>
  </mergeCells>
  <hyperlinks>
    <hyperlink ref="L83" location="Summary_Calc!B49" display="Goto calculation" xr:uid="{00000000-0004-0000-0300-000000000000}"/>
    <hyperlink ref="L92" location="Summary_Calc!B39" display="Goto calculation" xr:uid="{00000000-0004-0000-0300-000001000000}"/>
    <hyperlink ref="L99" location="Customers!A125" display="Goto calculation" xr:uid="{00000000-0004-0000-0300-000002000000}"/>
    <hyperlink ref="L75" location="Totex!A107" display="Goto calculation" xr:uid="{00000000-0004-0000-0300-000003000000}"/>
  </hyperlinks>
  <pageMargins left="0.70866141732283472" right="0.70866141732283472" top="0.74803149606299213" bottom="0.74803149606299213" header="0.31496062992125984" footer="0.31496062992125984"/>
  <pageSetup paperSize="9" scale="33" orientation="portrait" r:id="rId1"/>
  <headerFooter>
    <oddHeader>&amp;LPage &amp;P of &amp;N&amp;CSheet:&amp;A</oddHeader>
    <oddFooter>&amp;L&amp;F ( Printed on &amp;D at &amp;T )&amp;ROFWAT</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1"/>
  </sheetPr>
  <dimension ref="A1"/>
  <sheetViews>
    <sheetView showGridLines="0" workbookViewId="0"/>
  </sheetViews>
  <sheetFormatPr defaultRowHeight="14.4"/>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tabColor rgb="FFFFFF99"/>
    <pageSetUpPr fitToPage="1"/>
  </sheetPr>
  <dimension ref="A1:L67"/>
  <sheetViews>
    <sheetView showGridLines="0" tabSelected="1" zoomScale="80" zoomScaleNormal="80" workbookViewId="0">
      <pane ySplit="5" topLeftCell="A30" activePane="bottomLeft" state="frozen"/>
      <selection pane="bottomLeft" activeCell="E65" sqref="E65"/>
    </sheetView>
  </sheetViews>
  <sheetFormatPr defaultColWidth="0" defaultRowHeight="13.2"/>
  <cols>
    <col min="1" max="2" width="1.21875" style="11" customWidth="1"/>
    <col min="3" max="3" width="1.21875" style="12" customWidth="1"/>
    <col min="4" max="4" width="9" style="158" customWidth="1"/>
    <col min="5" max="5" width="75.77734375" style="14" customWidth="1"/>
    <col min="6" max="6" width="12.77734375" style="13" customWidth="1"/>
    <col min="7" max="7" width="11.77734375" style="13" customWidth="1"/>
    <col min="8" max="8" width="17.21875" style="14" customWidth="1"/>
    <col min="9" max="9" width="3" style="14" customWidth="1"/>
    <col min="10" max="10" width="62.21875" style="14" customWidth="1"/>
    <col min="11" max="11" width="0" style="45" hidden="1" customWidth="1"/>
    <col min="12" max="16384" width="0.77734375" style="45" hidden="1"/>
  </cols>
  <sheetData>
    <row r="1" spans="1:10" ht="24.6">
      <c r="A1" s="1" t="str">
        <f ca="1" xml:space="preserve"> RIGHT(CELL("FILENAME", $A$1), LEN(CELL("FILENAME", $A$1)) - SEARCH("]", CELL("FILENAME", $A$1)))</f>
        <v>InpC</v>
      </c>
      <c r="B1" s="1"/>
      <c r="C1" s="2"/>
      <c r="D1" s="150"/>
      <c r="E1" s="4"/>
      <c r="J1" s="5"/>
    </row>
    <row r="2" spans="1:10">
      <c r="A2" s="7"/>
      <c r="B2" s="7"/>
      <c r="C2" s="8"/>
      <c r="D2" s="144"/>
      <c r="E2" s="10"/>
      <c r="F2" s="121"/>
      <c r="G2" s="121"/>
      <c r="H2" s="6"/>
      <c r="I2" s="6"/>
      <c r="J2" s="23"/>
    </row>
    <row r="3" spans="1:10">
      <c r="A3" s="7"/>
      <c r="B3" s="7"/>
      <c r="C3" s="8"/>
      <c r="D3" s="144"/>
      <c r="E3" s="10"/>
      <c r="F3" s="121"/>
      <c r="G3" s="121"/>
      <c r="H3" s="6"/>
      <c r="I3" s="6"/>
      <c r="J3" s="24"/>
    </row>
    <row r="4" spans="1:10">
      <c r="A4" s="7"/>
      <c r="B4" s="7"/>
      <c r="C4" s="8"/>
      <c r="D4" s="144"/>
      <c r="E4" s="10"/>
      <c r="F4" s="121"/>
      <c r="G4" s="121"/>
      <c r="H4" s="6"/>
      <c r="I4" s="6"/>
    </row>
    <row r="5" spans="1:10">
      <c r="A5" s="7"/>
      <c r="B5" s="7"/>
      <c r="C5" s="8"/>
      <c r="D5" s="144"/>
      <c r="E5" s="10"/>
      <c r="F5" s="122" t="s">
        <v>0</v>
      </c>
      <c r="G5" s="122" t="s">
        <v>1</v>
      </c>
      <c r="H5" s="80" t="s">
        <v>22</v>
      </c>
      <c r="I5" s="80"/>
      <c r="J5" s="498" t="s">
        <v>89</v>
      </c>
    </row>
    <row r="6" spans="1:10">
      <c r="F6" s="21"/>
      <c r="G6" s="21"/>
      <c r="H6" s="24"/>
      <c r="I6" s="24"/>
    </row>
    <row r="7" spans="1:10" s="65" customFormat="1" ht="15" customHeight="1">
      <c r="A7" s="15" t="s">
        <v>260</v>
      </c>
      <c r="B7" s="15"/>
      <c r="C7" s="546"/>
      <c r="D7" s="135"/>
      <c r="E7" s="15"/>
      <c r="F7" s="17"/>
      <c r="G7" s="17"/>
      <c r="H7" s="15"/>
      <c r="I7" s="15"/>
      <c r="J7" s="15"/>
    </row>
    <row r="8" spans="1:10">
      <c r="F8" s="21"/>
      <c r="G8" s="21"/>
      <c r="H8" s="24"/>
      <c r="I8" s="24"/>
    </row>
    <row r="9" spans="1:10" s="544" customFormat="1" ht="13.8">
      <c r="A9" s="353"/>
      <c r="B9" s="353"/>
      <c r="C9" s="353"/>
      <c r="D9" s="353"/>
      <c r="E9" s="301" t="s">
        <v>261</v>
      </c>
      <c r="F9" s="413">
        <v>1E-3</v>
      </c>
      <c r="G9" s="365" t="s">
        <v>262</v>
      </c>
      <c r="H9" s="353"/>
      <c r="I9" s="353"/>
      <c r="J9" s="353"/>
    </row>
    <row r="10" spans="1:10" s="544" customFormat="1" ht="13.8">
      <c r="A10" s="353"/>
      <c r="B10" s="353"/>
      <c r="C10" s="353"/>
      <c r="D10" s="353"/>
      <c r="E10" s="301" t="s">
        <v>263</v>
      </c>
      <c r="F10" s="413">
        <v>9.9999999999999995E-8</v>
      </c>
      <c r="G10" s="365" t="s">
        <v>262</v>
      </c>
      <c r="H10" s="353"/>
      <c r="I10" s="353"/>
      <c r="J10" s="353"/>
    </row>
    <row r="11" spans="1:10">
      <c r="E11" s="119"/>
      <c r="F11" s="384"/>
      <c r="G11" s="384"/>
      <c r="H11" s="383"/>
      <c r="I11" s="383"/>
      <c r="J11" s="119"/>
    </row>
    <row r="12" spans="1:10" ht="12.75" customHeight="1">
      <c r="A12" s="43"/>
      <c r="E12" s="6" t="s">
        <v>8</v>
      </c>
      <c r="F12" s="385">
        <v>1000</v>
      </c>
      <c r="G12" s="121" t="s">
        <v>9</v>
      </c>
      <c r="H12" s="6"/>
      <c r="I12" s="6"/>
      <c r="J12" s="6"/>
    </row>
    <row r="13" spans="1:10">
      <c r="F13" s="21"/>
      <c r="G13" s="21"/>
      <c r="H13" s="24"/>
      <c r="I13" s="24"/>
    </row>
    <row r="14" spans="1:10" ht="13.8">
      <c r="A14" s="547" t="s">
        <v>345</v>
      </c>
      <c r="B14" s="547"/>
      <c r="C14" s="548"/>
      <c r="D14" s="549"/>
      <c r="E14" s="547"/>
      <c r="F14" s="547"/>
      <c r="G14" s="547"/>
      <c r="H14" s="547"/>
      <c r="I14" s="15"/>
      <c r="J14" s="15"/>
    </row>
    <row r="15" spans="1:10" ht="14.4">
      <c r="A15" s="106"/>
      <c r="B15" s="106"/>
      <c r="C15"/>
      <c r="D15" s="108"/>
      <c r="E15"/>
      <c r="F15" s="550"/>
      <c r="G15" s="551"/>
      <c r="H15" s="551"/>
      <c r="I15" s="24"/>
    </row>
    <row r="16" spans="1:10">
      <c r="D16" s="596" t="str">
        <f>$F$26</f>
        <v>PR14</v>
      </c>
      <c r="E16" s="119" t="s">
        <v>346</v>
      </c>
      <c r="F16" s="552">
        <v>43921</v>
      </c>
      <c r="G16" s="553" t="s">
        <v>347</v>
      </c>
      <c r="H16" s="383"/>
      <c r="I16" s="24"/>
    </row>
    <row r="17" spans="1:10">
      <c r="A17" s="106"/>
      <c r="B17" s="361"/>
      <c r="C17" s="447"/>
      <c r="D17" s="554"/>
      <c r="E17" s="555"/>
      <c r="F17" s="556"/>
      <c r="G17" s="553"/>
      <c r="H17" s="555"/>
      <c r="I17" s="24"/>
    </row>
    <row r="18" spans="1:10">
      <c r="D18" s="596" t="str">
        <f>$F$26</f>
        <v>PR14</v>
      </c>
      <c r="E18" s="119" t="s">
        <v>348</v>
      </c>
      <c r="F18" s="557">
        <v>2020</v>
      </c>
      <c r="G18" s="558" t="s">
        <v>349</v>
      </c>
      <c r="H18" s="383"/>
      <c r="I18" s="24"/>
    </row>
    <row r="19" spans="1:10">
      <c r="A19" s="106"/>
      <c r="B19" s="361"/>
      <c r="C19" s="358"/>
      <c r="D19" s="554"/>
      <c r="E19" s="212"/>
      <c r="F19" s="559"/>
      <c r="G19" s="558"/>
      <c r="H19" s="559"/>
      <c r="I19" s="24"/>
    </row>
    <row r="20" spans="1:10">
      <c r="D20" s="597" t="str">
        <f>$F$27</f>
        <v>PR19</v>
      </c>
      <c r="E20" s="119" t="s">
        <v>346</v>
      </c>
      <c r="F20" s="552">
        <v>45747</v>
      </c>
      <c r="G20" s="553" t="s">
        <v>347</v>
      </c>
      <c r="H20" s="354"/>
      <c r="I20" s="24"/>
    </row>
    <row r="21" spans="1:10" ht="14.4">
      <c r="A21" s="106"/>
      <c r="B21" s="361"/>
      <c r="C21" s="447"/>
      <c r="D21" s="554"/>
      <c r="E21" s="271"/>
      <c r="F21" s="561"/>
      <c r="G21" s="553"/>
      <c r="H21" s="447"/>
      <c r="I21" s="24"/>
    </row>
    <row r="22" spans="1:10" ht="14.4">
      <c r="A22" s="106"/>
      <c r="B22" s="106"/>
      <c r="C22" s="562"/>
      <c r="D22" s="597" t="str">
        <f>$F$27</f>
        <v>PR19</v>
      </c>
      <c r="E22" s="119" t="s">
        <v>348</v>
      </c>
      <c r="F22" s="557">
        <v>2025</v>
      </c>
      <c r="G22" s="558" t="s">
        <v>349</v>
      </c>
      <c r="H22" s="551"/>
      <c r="I22" s="24"/>
    </row>
    <row r="23" spans="1:10" ht="14.4">
      <c r="A23" s="106"/>
      <c r="B23" s="106"/>
      <c r="C23" s="562"/>
      <c r="D23" s="404"/>
      <c r="E23" s="212"/>
      <c r="F23" s="551"/>
      <c r="G23" s="399"/>
      <c r="H23" s="551"/>
      <c r="I23" s="24"/>
    </row>
    <row r="24" spans="1:10" ht="13.8">
      <c r="A24" s="547" t="s">
        <v>350</v>
      </c>
      <c r="B24" s="547"/>
      <c r="C24" s="548"/>
      <c r="D24" s="549"/>
      <c r="E24" s="548"/>
      <c r="F24" s="547"/>
      <c r="G24" s="549"/>
      <c r="H24" s="547"/>
      <c r="I24" s="15"/>
      <c r="J24" s="15"/>
    </row>
    <row r="25" spans="1:10" ht="13.8">
      <c r="A25" s="448"/>
      <c r="B25" s="448"/>
      <c r="C25" s="563"/>
      <c r="D25" s="564"/>
      <c r="E25" s="563"/>
      <c r="F25" s="448"/>
      <c r="G25" s="564"/>
      <c r="H25" s="448"/>
      <c r="I25" s="193"/>
      <c r="J25" s="193"/>
    </row>
    <row r="26" spans="1:10">
      <c r="E26" s="14" t="s">
        <v>50</v>
      </c>
      <c r="F26" s="596" t="s">
        <v>10</v>
      </c>
      <c r="G26" s="21" t="s">
        <v>52</v>
      </c>
      <c r="H26" s="24"/>
      <c r="I26" s="24"/>
    </row>
    <row r="27" spans="1:10">
      <c r="E27" s="14" t="s">
        <v>51</v>
      </c>
      <c r="F27" s="597" t="s">
        <v>11</v>
      </c>
      <c r="G27" s="21" t="s">
        <v>52</v>
      </c>
      <c r="H27" s="24"/>
      <c r="I27" s="24"/>
    </row>
    <row r="28" spans="1:10">
      <c r="F28" s="21"/>
      <c r="G28" s="21"/>
      <c r="H28" s="24"/>
      <c r="I28" s="24"/>
    </row>
    <row r="29" spans="1:10" s="545" customFormat="1" ht="12.75" customHeight="1">
      <c r="A29" s="48"/>
      <c r="B29" s="163"/>
      <c r="C29" s="107"/>
      <c r="D29" s="596" t="str">
        <f>$F$26</f>
        <v>PR14</v>
      </c>
      <c r="E29" s="588" t="str">
        <f>'[1]Input Nominal'!E$10</f>
        <v>Company Name</v>
      </c>
      <c r="F29" s="588" t="str">
        <f>'[1]Input Nominal'!$I$10</f>
        <v>TMS</v>
      </c>
      <c r="G29" s="399" t="s">
        <v>52</v>
      </c>
      <c r="H29" s="728" t="s">
        <v>637</v>
      </c>
      <c r="I29" s="212"/>
      <c r="J29" s="212"/>
    </row>
    <row r="30" spans="1:10" s="589" customFormat="1" ht="12.75" customHeight="1">
      <c r="A30" s="48"/>
      <c r="B30" s="222"/>
      <c r="C30" s="398"/>
      <c r="D30" s="596" t="str">
        <f>$F$26</f>
        <v>PR14</v>
      </c>
      <c r="E30" s="588" t="str">
        <f>'[1]Input Nominal'!E$11</f>
        <v>Company Type</v>
      </c>
      <c r="F30" s="588" t="str">
        <f>'[1]Input Nominal'!I$11</f>
        <v>WaSC</v>
      </c>
      <c r="G30" s="21" t="s">
        <v>52</v>
      </c>
      <c r="H30" s="400"/>
      <c r="I30" s="400"/>
      <c r="J30" s="400"/>
    </row>
    <row r="31" spans="1:10" s="545" customFormat="1" ht="12.75" customHeight="1">
      <c r="A31" s="48"/>
      <c r="B31" s="163"/>
      <c r="C31" s="107"/>
      <c r="D31" s="404"/>
      <c r="E31" s="410"/>
      <c r="F31" s="108"/>
      <c r="G31" s="397"/>
      <c r="H31" s="212"/>
      <c r="I31" s="212"/>
      <c r="J31" s="212"/>
    </row>
    <row r="32" spans="1:10" s="545" customFormat="1" ht="12.75" customHeight="1">
      <c r="A32" s="48"/>
      <c r="B32" s="163"/>
      <c r="C32" s="107"/>
      <c r="D32" s="597" t="str">
        <f>$F$27</f>
        <v>PR19</v>
      </c>
      <c r="E32" s="588" t="str">
        <f>[2]InpActive!E$63</f>
        <v>Company Name</v>
      </c>
      <c r="F32" s="588" t="str">
        <f>[2]InpActive!F$63</f>
        <v>TMS</v>
      </c>
      <c r="G32" s="21" t="s">
        <v>52</v>
      </c>
      <c r="H32" s="728" t="s">
        <v>637</v>
      </c>
      <c r="I32" s="212"/>
      <c r="J32" s="212"/>
    </row>
    <row r="33" spans="1:12" s="545" customFormat="1" ht="12.75" customHeight="1">
      <c r="A33" s="48"/>
      <c r="B33" s="163"/>
      <c r="C33" s="107"/>
      <c r="D33" s="597" t="str">
        <f>$F$27</f>
        <v>PR19</v>
      </c>
      <c r="E33" s="588" t="str">
        <f>[2]InpActive!E$65</f>
        <v>Company Type</v>
      </c>
      <c r="F33" s="588" t="str">
        <f>[2]InpActive!F$65</f>
        <v>WaSC</v>
      </c>
      <c r="G33" s="21" t="s">
        <v>52</v>
      </c>
      <c r="H33" s="212"/>
      <c r="I33" s="212"/>
      <c r="J33" s="212"/>
    </row>
    <row r="34" spans="1:12" s="545" customFormat="1" ht="12.75" customHeight="1">
      <c r="A34" s="48"/>
      <c r="B34" s="163"/>
      <c r="C34" s="107"/>
      <c r="D34" s="588"/>
      <c r="E34" s="588"/>
      <c r="F34" s="588"/>
      <c r="G34" s="21"/>
      <c r="H34" s="212"/>
      <c r="I34" s="212"/>
      <c r="J34" s="212"/>
    </row>
    <row r="35" spans="1:12" s="545" customFormat="1" ht="12.75" customHeight="1">
      <c r="A35" s="22"/>
      <c r="B35" s="407"/>
      <c r="C35" s="408"/>
      <c r="D35" s="409"/>
      <c r="E35" s="410" t="s">
        <v>285</v>
      </c>
      <c r="F35" s="414" t="s">
        <v>222</v>
      </c>
      <c r="G35" s="415" t="s">
        <v>284</v>
      </c>
      <c r="H35" s="407"/>
      <c r="I35" s="407"/>
      <c r="J35" s="271"/>
    </row>
    <row r="36" spans="1:12" s="545" customFormat="1" ht="12.75" customHeight="1">
      <c r="A36" s="48"/>
      <c r="B36" s="163"/>
      <c r="C36" s="107"/>
      <c r="D36" s="404"/>
      <c r="E36" s="410" t="s">
        <v>286</v>
      </c>
      <c r="F36" s="108">
        <f xml:space="preserve"> IF(F35 = "WoC", 1, 0)</f>
        <v>0</v>
      </c>
      <c r="G36" s="397" t="s">
        <v>288</v>
      </c>
      <c r="H36" s="212"/>
      <c r="I36" s="212"/>
      <c r="J36" s="212"/>
    </row>
    <row r="37" spans="1:12" s="545" customFormat="1" ht="12.75" customHeight="1">
      <c r="A37" s="48"/>
      <c r="B37" s="163"/>
      <c r="C37" s="107"/>
      <c r="D37" s="404"/>
      <c r="E37" s="410"/>
      <c r="F37" s="108"/>
      <c r="G37" s="397"/>
      <c r="H37" s="212"/>
      <c r="I37" s="212"/>
      <c r="J37" s="212"/>
    </row>
    <row r="38" spans="1:12" s="545" customFormat="1" ht="12.75" customHeight="1">
      <c r="A38" s="48"/>
      <c r="B38" s="163"/>
      <c r="C38" s="107"/>
      <c r="D38" s="404"/>
      <c r="E38" s="410" t="s">
        <v>411</v>
      </c>
      <c r="F38" s="595">
        <f>IF( OR( $F$30 = 0, $F$33 = 0), 0, IF( AND( $F$35 = $F$30, $F$35 = $F$33), 0, 1))</f>
        <v>0</v>
      </c>
      <c r="G38" s="399" t="s">
        <v>351</v>
      </c>
      <c r="H38" s="212"/>
      <c r="I38" s="212"/>
      <c r="J38" s="212"/>
    </row>
    <row r="39" spans="1:12">
      <c r="E39" s="119"/>
      <c r="F39" s="384"/>
      <c r="G39" s="384"/>
      <c r="H39" s="383"/>
      <c r="I39" s="383"/>
      <c r="J39" s="119"/>
    </row>
    <row r="40" spans="1:12" ht="13.8">
      <c r="A40" s="547" t="s">
        <v>270</v>
      </c>
      <c r="B40" s="547"/>
      <c r="C40" s="548"/>
      <c r="D40" s="549"/>
      <c r="E40" s="547"/>
      <c r="F40" s="547"/>
      <c r="G40" s="549"/>
      <c r="H40" s="547"/>
      <c r="I40" s="15"/>
      <c r="J40" s="15"/>
    </row>
    <row r="41" spans="1:12" ht="13.8">
      <c r="A41" s="448"/>
      <c r="B41" s="448"/>
      <c r="C41" s="563"/>
      <c r="D41" s="564"/>
      <c r="E41" s="448"/>
      <c r="F41" s="448"/>
      <c r="G41" s="564"/>
      <c r="H41" s="448"/>
      <c r="I41" s="193"/>
      <c r="J41" s="193"/>
    </row>
    <row r="42" spans="1:12" ht="13.8">
      <c r="A42" s="448"/>
      <c r="B42" s="448"/>
      <c r="C42" s="563"/>
      <c r="D42" s="564"/>
      <c r="E42" s="448"/>
      <c r="F42" s="448"/>
      <c r="G42" s="564"/>
      <c r="H42" s="448"/>
      <c r="I42" s="193"/>
      <c r="J42" s="193"/>
    </row>
    <row r="43" spans="1:12" ht="14.4">
      <c r="B43" s="11" t="s">
        <v>631</v>
      </c>
      <c r="H43" s="142"/>
      <c r="I43"/>
      <c r="J43" s="149"/>
      <c r="K43" s="14"/>
      <c r="L43" s="119"/>
    </row>
    <row r="44" spans="1:12" s="625" customFormat="1" ht="13.8">
      <c r="A44" s="621"/>
      <c r="B44" s="621"/>
      <c r="C44" s="622"/>
      <c r="E44" s="355" t="s">
        <v>636</v>
      </c>
      <c r="F44" s="723">
        <v>244.67499999999998</v>
      </c>
      <c r="G44" s="721" t="s">
        <v>628</v>
      </c>
      <c r="H44" s="621"/>
      <c r="I44" s="624"/>
      <c r="J44" s="624"/>
    </row>
    <row r="45" spans="1:12" s="625" customFormat="1" ht="13.8">
      <c r="A45" s="621"/>
      <c r="B45" s="621"/>
      <c r="C45" s="622"/>
      <c r="E45" s="355" t="s">
        <v>633</v>
      </c>
      <c r="F45" s="723">
        <v>294.6825</v>
      </c>
      <c r="G45" s="721" t="s">
        <v>628</v>
      </c>
      <c r="H45" s="621"/>
      <c r="I45" s="624"/>
      <c r="J45" s="624"/>
    </row>
    <row r="46" spans="1:12" s="120" customFormat="1" ht="13.8">
      <c r="A46" s="448"/>
      <c r="B46" s="448"/>
      <c r="C46" s="672"/>
      <c r="E46" s="724" t="s">
        <v>630</v>
      </c>
      <c r="F46" s="220">
        <f xml:space="preserve"> IFERROR( F45 / F44, 0 )</f>
        <v>1.2043833656891796</v>
      </c>
      <c r="G46" s="725" t="s">
        <v>627</v>
      </c>
      <c r="H46" s="448"/>
      <c r="I46" s="193"/>
      <c r="J46" s="193"/>
    </row>
    <row r="47" spans="1:12" s="625" customFormat="1" ht="13.8">
      <c r="A47" s="621"/>
      <c r="B47" s="621"/>
      <c r="C47" s="622"/>
      <c r="E47" s="14"/>
      <c r="F47" s="59"/>
      <c r="G47" s="13"/>
      <c r="H47" s="621"/>
      <c r="I47" s="624"/>
      <c r="J47" s="624"/>
    </row>
    <row r="48" spans="1:12" ht="14.4">
      <c r="B48" s="11" t="s">
        <v>632</v>
      </c>
      <c r="F48" s="59"/>
      <c r="H48" s="142"/>
      <c r="I48"/>
      <c r="J48" s="149"/>
      <c r="K48" s="14"/>
      <c r="L48" s="119"/>
    </row>
    <row r="49" spans="1:10" s="625" customFormat="1" ht="13.8">
      <c r="A49" s="621"/>
      <c r="B49" s="621"/>
      <c r="C49" s="622"/>
      <c r="E49" s="14" t="s">
        <v>635</v>
      </c>
      <c r="F49" s="723">
        <v>104.21666666666665</v>
      </c>
      <c r="G49" s="13" t="s">
        <v>628</v>
      </c>
      <c r="H49" s="621"/>
      <c r="I49" s="624"/>
      <c r="J49" s="624"/>
    </row>
    <row r="50" spans="1:10" s="625" customFormat="1" ht="13.8">
      <c r="A50" s="621"/>
      <c r="B50" s="621"/>
      <c r="C50" s="622"/>
      <c r="E50" s="14" t="s">
        <v>634</v>
      </c>
      <c r="F50" s="723">
        <v>109.16964116658332</v>
      </c>
      <c r="G50" s="13" t="s">
        <v>628</v>
      </c>
      <c r="H50" s="621"/>
      <c r="I50" s="624"/>
      <c r="J50" s="624"/>
    </row>
    <row r="51" spans="1:10" s="120" customFormat="1" ht="13.8">
      <c r="A51" s="448"/>
      <c r="B51" s="448"/>
      <c r="C51" s="672"/>
      <c r="E51" s="119" t="s">
        <v>629</v>
      </c>
      <c r="F51" s="220">
        <f xml:space="preserve"> IFERROR( F50 / F49, 0 )</f>
        <v>1.0475257428426354</v>
      </c>
      <c r="G51" s="149" t="s">
        <v>627</v>
      </c>
      <c r="H51" s="448"/>
      <c r="I51" s="193"/>
      <c r="J51" s="193"/>
    </row>
    <row r="52" spans="1:10" s="625" customFormat="1" ht="13.8">
      <c r="A52" s="621"/>
      <c r="B52" s="621"/>
      <c r="C52" s="622"/>
      <c r="D52" s="623"/>
      <c r="E52" s="620"/>
      <c r="F52" s="621"/>
      <c r="G52" s="623"/>
      <c r="H52" s="621"/>
      <c r="I52" s="624"/>
      <c r="J52" s="624"/>
    </row>
    <row r="53" spans="1:10" s="625" customFormat="1" ht="13.8">
      <c r="A53" s="621"/>
      <c r="B53" s="621"/>
      <c r="C53" s="622"/>
      <c r="D53" s="623"/>
      <c r="E53" s="358" t="str">
        <f>E46</f>
        <v>RPI inflate from 2013 FYA to 2020 FYE</v>
      </c>
      <c r="F53" s="113">
        <f t="shared" ref="F53:G53" si="0">F46</f>
        <v>1.2043833656891796</v>
      </c>
      <c r="G53" s="206" t="str">
        <f t="shared" si="0"/>
        <v>factor</v>
      </c>
      <c r="H53" s="621"/>
      <c r="I53" s="624"/>
      <c r="J53" s="624"/>
    </row>
    <row r="54" spans="1:10" s="625" customFormat="1" ht="13.8">
      <c r="A54" s="621"/>
      <c r="B54" s="621"/>
      <c r="C54" s="622"/>
      <c r="D54" s="623"/>
      <c r="E54" s="358" t="str">
        <f>E51</f>
        <v>CPIH deflate from 2020 FYE to 2018 FYA</v>
      </c>
      <c r="F54" s="113">
        <f t="shared" ref="F54:G54" si="1">F51</f>
        <v>1.0475257428426354</v>
      </c>
      <c r="G54" s="206" t="str">
        <f t="shared" si="1"/>
        <v>factor</v>
      </c>
      <c r="H54" s="621"/>
      <c r="I54" s="624"/>
      <c r="J54" s="624"/>
    </row>
    <row r="55" spans="1:10" ht="12.75" customHeight="1">
      <c r="A55" s="25"/>
      <c r="B55" s="18"/>
      <c r="C55" s="19"/>
      <c r="D55" s="596" t="str">
        <f>$F$26</f>
        <v>PR14</v>
      </c>
      <c r="E55" s="115" t="s">
        <v>602</v>
      </c>
      <c r="F55" s="220">
        <f>IFERROR( F53 / F54, 0 )</f>
        <v>1.1497410673850219</v>
      </c>
      <c r="G55" s="13" t="s">
        <v>627</v>
      </c>
      <c r="H55" s="85"/>
      <c r="I55" s="85"/>
      <c r="J55" s="45"/>
    </row>
    <row r="56" spans="1:10" ht="12.75" customHeight="1">
      <c r="A56" s="25"/>
      <c r="B56" s="25"/>
      <c r="C56" s="26"/>
      <c r="D56" s="144"/>
      <c r="E56" s="115"/>
      <c r="F56" s="386"/>
      <c r="G56" s="228"/>
      <c r="H56" s="85"/>
      <c r="I56" s="85"/>
      <c r="J56" s="45"/>
    </row>
    <row r="57" spans="1:10" ht="12.75" customHeight="1">
      <c r="A57" s="25"/>
      <c r="B57" s="18"/>
      <c r="C57" s="19"/>
      <c r="D57" s="597" t="str">
        <f>$F$27</f>
        <v>PR19</v>
      </c>
      <c r="E57" s="380" t="s">
        <v>626</v>
      </c>
      <c r="F57" s="722">
        <v>1.1476732911210807</v>
      </c>
      <c r="G57" s="13" t="s">
        <v>627</v>
      </c>
      <c r="H57" s="85"/>
      <c r="I57" s="85"/>
      <c r="J57" s="45"/>
    </row>
    <row r="58" spans="1:10" ht="12.75" customHeight="1">
      <c r="A58" s="25"/>
      <c r="B58" s="25"/>
      <c r="C58" s="26"/>
      <c r="D58" s="144"/>
      <c r="E58" s="115"/>
      <c r="F58" s="387"/>
      <c r="G58" s="228"/>
      <c r="H58" s="85"/>
      <c r="I58" s="85"/>
      <c r="J58" s="45"/>
    </row>
    <row r="59" spans="1:10" ht="12.75" customHeight="1">
      <c r="A59" s="25"/>
      <c r="B59" s="25"/>
      <c r="C59" s="26"/>
      <c r="D59" s="144"/>
      <c r="E59" s="115"/>
      <c r="F59" s="126"/>
      <c r="G59" s="125"/>
      <c r="H59" s="85"/>
      <c r="I59" s="85"/>
      <c r="J59" s="45"/>
    </row>
    <row r="60" spans="1:10">
      <c r="A60" s="25"/>
      <c r="B60" s="34"/>
      <c r="C60" s="26"/>
      <c r="D60" s="171"/>
      <c r="E60" s="27"/>
      <c r="F60" s="279"/>
      <c r="G60" s="279"/>
      <c r="H60" s="27"/>
      <c r="I60" s="27"/>
      <c r="J60" s="27"/>
    </row>
    <row r="61" spans="1:10" s="75" customFormat="1">
      <c r="A61" s="38" t="s">
        <v>6</v>
      </c>
      <c r="B61" s="38"/>
      <c r="C61" s="39"/>
      <c r="D61" s="172"/>
      <c r="E61" s="39"/>
      <c r="F61" s="133"/>
      <c r="G61" s="153"/>
      <c r="H61" s="38"/>
      <c r="I61" s="38"/>
      <c r="J61" s="38"/>
    </row>
    <row r="63" spans="1:10">
      <c r="E63" s="11" t="s">
        <v>720</v>
      </c>
      <c r="F63" s="149"/>
      <c r="G63" s="149"/>
      <c r="H63" s="119"/>
      <c r="I63" s="119"/>
      <c r="J63" s="119"/>
    </row>
    <row r="64" spans="1:10">
      <c r="E64" s="119" t="s">
        <v>721</v>
      </c>
      <c r="F64" s="793">
        <v>1</v>
      </c>
      <c r="G64" s="149"/>
      <c r="H64" s="119"/>
      <c r="I64" s="119"/>
      <c r="J64" s="119" t="s">
        <v>722</v>
      </c>
    </row>
    <row r="65" spans="5:10">
      <c r="E65" s="119" t="s">
        <v>731</v>
      </c>
      <c r="F65" s="793">
        <v>1</v>
      </c>
      <c r="G65" s="149"/>
      <c r="H65" s="119"/>
      <c r="I65" s="119"/>
      <c r="J65" s="119" t="s">
        <v>722</v>
      </c>
    </row>
    <row r="66" spans="5:10">
      <c r="E66" s="119" t="s">
        <v>723</v>
      </c>
      <c r="F66" s="793">
        <v>1</v>
      </c>
      <c r="G66" s="149"/>
      <c r="H66" s="119"/>
      <c r="I66" s="119"/>
      <c r="J66" s="119" t="s">
        <v>722</v>
      </c>
    </row>
    <row r="67" spans="5:10">
      <c r="E67" s="119" t="s">
        <v>724</v>
      </c>
      <c r="F67" s="793">
        <v>1</v>
      </c>
      <c r="G67" s="149"/>
      <c r="H67" s="119"/>
      <c r="I67" s="119"/>
      <c r="J67" s="119" t="s">
        <v>722</v>
      </c>
    </row>
  </sheetData>
  <conditionalFormatting sqref="C19:D19">
    <cfRule type="cellIs" dxfId="71" priority="27" stopIfTrue="1" operator="equal">
      <formula>"N/A"</formula>
    </cfRule>
    <cfRule type="cellIs" dxfId="70" priority="28" stopIfTrue="1" operator="notEqual">
      <formula>""</formula>
    </cfRule>
  </conditionalFormatting>
  <conditionalFormatting sqref="F38">
    <cfRule type="cellIs" dxfId="69" priority="1" stopIfTrue="1" operator="notEqual">
      <formula>0</formula>
    </cfRule>
    <cfRule type="cellIs" dxfId="68" priority="2" stopIfTrue="1" operator="equal">
      <formula>""</formula>
    </cfRule>
  </conditionalFormatting>
  <dataValidations count="1">
    <dataValidation type="list" allowBlank="1" showInputMessage="1" showErrorMessage="1" sqref="F35" xr:uid="{00000000-0002-0000-0500-000000000000}">
      <formula1>"WaSC, WoC"</formula1>
    </dataValidation>
  </dataValidations>
  <pageMargins left="0.70866141732283472" right="0.70866141732283472" top="0.74803149606299213" bottom="0.74803149606299213" header="0.31496062992125984" footer="0.31496062992125984"/>
  <pageSetup paperSize="9" scale="58" orientation="landscape" r:id="rId1"/>
  <headerFooter>
    <oddHeader>&amp;LPage &amp;P of &amp;N&amp;CSheet:&amp;A</oddHeader>
    <oddFooter>&amp;L&amp;F ( Printed on &amp;D at &amp;T )&amp;ROFWAT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rgb="FFFFFF99"/>
    <pageSetUpPr fitToPage="1"/>
  </sheetPr>
  <dimension ref="A1:AN429"/>
  <sheetViews>
    <sheetView showGridLines="0" zoomScale="80" zoomScaleNormal="80" workbookViewId="0">
      <pane ySplit="5" topLeftCell="A6" activePane="bottomLeft" state="frozen"/>
      <selection pane="bottomLeft" activeCell="H41" sqref="H41"/>
    </sheetView>
  </sheetViews>
  <sheetFormatPr defaultColWidth="0" defaultRowHeight="13.2"/>
  <cols>
    <col min="1" max="2" width="1.21875" style="11" customWidth="1"/>
    <col min="3" max="3" width="1.21875" style="12" customWidth="1"/>
    <col min="4" max="4" width="9" style="158" customWidth="1"/>
    <col min="5" max="5" width="130.21875" style="14" customWidth="1"/>
    <col min="6" max="6" width="17" style="13" customWidth="1"/>
    <col min="7" max="7" width="11.77734375" style="13" customWidth="1"/>
    <col min="8" max="8" width="15.21875" style="119" customWidth="1"/>
    <col min="9" max="9" width="15.21875" style="149" customWidth="1"/>
    <col min="10" max="10" width="15.21875" style="14" customWidth="1"/>
    <col min="11" max="11" width="62.21875" style="119" customWidth="1"/>
    <col min="12" max="40" width="0" style="45" hidden="1" customWidth="1"/>
    <col min="41" max="16384" width="0.77734375" style="45" hidden="1"/>
  </cols>
  <sheetData>
    <row r="1" spans="1:11" ht="24.6">
      <c r="A1" s="1" t="str">
        <f ca="1" xml:space="preserve"> RIGHT(CELL("FILENAME", $A$1), LEN(CELL("FILENAME", $A$1)) - SEARCH("]", CELL("FILENAME", $A$1)))</f>
        <v>InpAct</v>
      </c>
      <c r="B1" s="1"/>
      <c r="C1" s="2"/>
      <c r="D1" s="150"/>
      <c r="E1" s="4"/>
      <c r="F1" s="612"/>
      <c r="K1" s="604"/>
    </row>
    <row r="2" spans="1:11">
      <c r="A2" s="7"/>
      <c r="B2" s="7"/>
      <c r="C2" s="8"/>
      <c r="D2" s="144"/>
      <c r="E2" s="10"/>
      <c r="F2" s="612"/>
      <c r="G2" s="121"/>
      <c r="J2" s="6"/>
      <c r="K2" s="605"/>
    </row>
    <row r="3" spans="1:11">
      <c r="A3" s="7"/>
      <c r="B3" s="7"/>
      <c r="C3" s="8"/>
      <c r="D3" s="144"/>
      <c r="E3" s="10"/>
      <c r="F3" s="121"/>
      <c r="G3" s="121"/>
      <c r="J3" s="6"/>
      <c r="K3" s="383"/>
    </row>
    <row r="4" spans="1:11">
      <c r="A4" s="7"/>
      <c r="B4" s="7"/>
      <c r="C4" s="8"/>
      <c r="D4" s="144"/>
      <c r="E4" s="10"/>
      <c r="F4" s="121"/>
      <c r="G4" s="121"/>
      <c r="J4" s="6"/>
    </row>
    <row r="5" spans="1:11">
      <c r="A5" s="7"/>
      <c r="B5" s="7"/>
      <c r="C5" s="8"/>
      <c r="D5" s="144"/>
      <c r="E5" s="10"/>
      <c r="F5" s="122" t="s">
        <v>0</v>
      </c>
      <c r="G5" s="122" t="s">
        <v>1</v>
      </c>
      <c r="H5" s="80" t="s">
        <v>614</v>
      </c>
      <c r="I5" s="80" t="s">
        <v>613</v>
      </c>
      <c r="J5" s="80" t="s">
        <v>615</v>
      </c>
      <c r="K5" s="498" t="s">
        <v>89</v>
      </c>
    </row>
    <row r="6" spans="1:11">
      <c r="F6" s="21"/>
      <c r="G6" s="21"/>
      <c r="H6" s="383"/>
      <c r="I6" s="384"/>
      <c r="J6" s="24"/>
    </row>
    <row r="7" spans="1:11" s="65" customFormat="1" ht="15" customHeight="1">
      <c r="A7" s="15" t="s">
        <v>12</v>
      </c>
      <c r="B7" s="15"/>
      <c r="C7" s="16"/>
      <c r="D7" s="135"/>
      <c r="E7" s="15"/>
      <c r="F7" s="17"/>
      <c r="G7" s="17"/>
      <c r="H7" s="15"/>
      <c r="I7" s="17"/>
      <c r="J7" s="15"/>
      <c r="K7" s="15"/>
    </row>
    <row r="9" spans="1:11">
      <c r="B9" s="11" t="s">
        <v>5</v>
      </c>
    </row>
    <row r="10" spans="1:11" s="42" customFormat="1">
      <c r="A10" s="48"/>
      <c r="B10" s="48"/>
      <c r="C10" s="53"/>
      <c r="D10" s="596" t="str">
        <f>InpC!$F$26</f>
        <v>PR14</v>
      </c>
      <c r="E10" s="29" t="str">
        <f>'[1]Exec Summary'!E$38</f>
        <v>Average water-only bill</v>
      </c>
      <c r="F10" s="384"/>
      <c r="G10" s="384" t="s">
        <v>60</v>
      </c>
      <c r="H10" s="142">
        <f xml:space="preserve"> IF(I10 &lt;&gt; "", I10, J10)</f>
        <v>195.2778571304957</v>
      </c>
      <c r="I10" s="707"/>
      <c r="J10" s="49">
        <f>'[1]Exec Summary'!N$38</f>
        <v>195.2778571304957</v>
      </c>
      <c r="K10" s="383"/>
    </row>
    <row r="11" spans="1:11" s="42" customFormat="1">
      <c r="A11" s="48"/>
      <c r="B11" s="48"/>
      <c r="C11" s="53"/>
      <c r="D11" s="596" t="str">
        <f>InpC!$F$26</f>
        <v>PR14</v>
      </c>
      <c r="E11" s="29" t="str">
        <f>'[1]Exec Summary'!E$41</f>
        <v>Average wastewater-only bill</v>
      </c>
      <c r="F11" s="384"/>
      <c r="G11" s="384" t="s">
        <v>60</v>
      </c>
      <c r="H11" s="142">
        <f xml:space="preserve"> IF(I11 &lt;&gt; "", I11, J11)</f>
        <v>185.35094227381501</v>
      </c>
      <c r="I11" s="707"/>
      <c r="J11" s="49">
        <f>'[1]Exec Summary'!N$41</f>
        <v>185.35094227381501</v>
      </c>
      <c r="K11" s="383"/>
    </row>
    <row r="12" spans="1:11" s="36" customFormat="1">
      <c r="A12" s="61"/>
      <c r="B12" s="61"/>
      <c r="C12" s="62"/>
      <c r="D12" s="169"/>
      <c r="E12" s="30"/>
      <c r="F12" s="388"/>
      <c r="G12" s="388"/>
      <c r="H12" s="142"/>
      <c r="I12" s="384"/>
      <c r="J12" s="30"/>
      <c r="K12" s="383"/>
    </row>
    <row r="13" spans="1:11" s="36" customFormat="1">
      <c r="A13" s="61"/>
      <c r="B13" s="61"/>
      <c r="C13" s="62"/>
      <c r="D13" s="560" t="str">
        <f>InpC!$F$27</f>
        <v>PR19</v>
      </c>
      <c r="E13" s="764" t="str">
        <f>[2]Summary_Calc!E$1163</f>
        <v>WoC average bill - real</v>
      </c>
      <c r="F13" s="765">
        <f>[2]Summary_Calc!F$1163</f>
        <v>0</v>
      </c>
      <c r="G13" s="765" t="str">
        <f>[2]Summary_Calc!G$1163</f>
        <v>£</v>
      </c>
      <c r="H13" s="142">
        <f xml:space="preserve"> IF(I13 &lt;&gt; "", I13, J13)</f>
        <v>0</v>
      </c>
      <c r="I13" s="707"/>
      <c r="J13" s="49">
        <f>[2]Summary_Calc!P$1163</f>
        <v>0</v>
      </c>
      <c r="K13" s="383"/>
    </row>
    <row r="14" spans="1:11">
      <c r="A14" s="18"/>
      <c r="B14" s="18"/>
      <c r="C14" s="19"/>
      <c r="D14" s="560" t="str">
        <f>InpC!$F$27</f>
        <v>PR19</v>
      </c>
      <c r="E14" s="764" t="str">
        <f>[2]Summary_Calc!E$1177</f>
        <v>WaSC average bill - real</v>
      </c>
      <c r="F14" s="765">
        <f>[2]Summary_Calc!F$1177</f>
        <v>0</v>
      </c>
      <c r="G14" s="765" t="str">
        <f>[2]Summary_Calc!G$1177</f>
        <v>£</v>
      </c>
      <c r="H14" s="142">
        <f xml:space="preserve"> IF(I14 &lt;&gt; "", I14, J14)</f>
        <v>384.3691244179509</v>
      </c>
      <c r="I14" s="796">
        <f>H429*InpC!$F$65+J14</f>
        <v>384.3691244179509</v>
      </c>
      <c r="J14" s="763">
        <f>[2]Summary_Calc!P$1177</f>
        <v>391.23807516404889</v>
      </c>
      <c r="K14" s="383"/>
    </row>
    <row r="15" spans="1:11">
      <c r="A15" s="18"/>
      <c r="B15" s="18"/>
      <c r="C15" s="19"/>
      <c r="D15" s="170"/>
      <c r="E15" s="20"/>
      <c r="F15" s="389"/>
      <c r="G15" s="389"/>
      <c r="H15" s="142"/>
      <c r="I15" s="280"/>
      <c r="J15" s="20"/>
      <c r="K15" s="606"/>
    </row>
    <row r="16" spans="1:11" s="65" customFormat="1" ht="15" customHeight="1">
      <c r="A16" s="15" t="s">
        <v>59</v>
      </c>
      <c r="B16" s="15"/>
      <c r="C16" s="16"/>
      <c r="D16" s="135"/>
      <c r="E16" s="15"/>
      <c r="F16" s="17"/>
      <c r="G16" s="17"/>
      <c r="H16" s="17"/>
      <c r="I16" s="17"/>
      <c r="J16" s="15"/>
      <c r="K16" s="15"/>
    </row>
    <row r="17" spans="1:11" ht="12.75" customHeight="1">
      <c r="A17" s="25"/>
      <c r="B17" s="25"/>
      <c r="C17" s="26"/>
      <c r="D17" s="144"/>
      <c r="E17" s="115"/>
      <c r="F17" s="126"/>
      <c r="G17" s="125"/>
      <c r="H17" s="142"/>
      <c r="I17" s="145"/>
      <c r="J17" s="85"/>
      <c r="K17" s="120"/>
    </row>
    <row r="18" spans="1:11" s="42" customFormat="1" ht="12.75" customHeight="1">
      <c r="A18" s="51"/>
      <c r="B18" s="51"/>
      <c r="C18" s="147"/>
      <c r="D18" s="596" t="str">
        <f>InpC!$F$26</f>
        <v>PR14</v>
      </c>
      <c r="E18" s="31" t="str">
        <f>'[1]Input Nominal'!E$807</f>
        <v xml:space="preserve">Water: Number of unmeasured households </v>
      </c>
      <c r="F18" s="201"/>
      <c r="G18" s="201" t="s">
        <v>61</v>
      </c>
      <c r="H18" s="142">
        <f t="shared" ref="H18:H23" si="0" xml:space="preserve"> IF(I18 &lt;&gt; "", I18, J18)</f>
        <v>32.143000000000001</v>
      </c>
      <c r="I18" s="707"/>
      <c r="J18" s="47">
        <f>'[1]Input Nominal'!N$807</f>
        <v>32.143000000000001</v>
      </c>
      <c r="K18" s="120"/>
    </row>
    <row r="19" spans="1:11" s="42" customFormat="1" ht="12.75" customHeight="1">
      <c r="A19" s="51"/>
      <c r="B19" s="51"/>
      <c r="C19" s="147"/>
      <c r="D19" s="596" t="str">
        <f>InpC!$F$26</f>
        <v>PR14</v>
      </c>
      <c r="E19" s="31" t="str">
        <f>'[1]Input Nominal'!E$808</f>
        <v xml:space="preserve">Water: Number of measured households </v>
      </c>
      <c r="F19" s="201"/>
      <c r="G19" s="201" t="s">
        <v>61</v>
      </c>
      <c r="H19" s="142">
        <f t="shared" si="0"/>
        <v>15.452</v>
      </c>
      <c r="I19" s="707"/>
      <c r="J19" s="47">
        <f>'[1]Input Nominal'!$N$808</f>
        <v>15.452</v>
      </c>
      <c r="K19" s="120"/>
    </row>
    <row r="20" spans="1:11" s="42" customFormat="1" ht="12.75" customHeight="1">
      <c r="A20" s="51"/>
      <c r="B20" s="51"/>
      <c r="C20" s="147"/>
      <c r="D20" s="596" t="str">
        <f>InpC!$F$26</f>
        <v>PR14</v>
      </c>
      <c r="E20" s="31" t="str">
        <f>'[1]Input Nominal'!E$809</f>
        <v xml:space="preserve">Wastewater: Number of unmeasured households </v>
      </c>
      <c r="F20" s="201"/>
      <c r="G20" s="201" t="s">
        <v>61</v>
      </c>
      <c r="H20" s="142">
        <f t="shared" si="0"/>
        <v>637.14400000000001</v>
      </c>
      <c r="I20" s="707"/>
      <c r="J20" s="47">
        <f>'[1]Input Nominal'!$N$809</f>
        <v>637.14400000000001</v>
      </c>
      <c r="K20" s="120"/>
    </row>
    <row r="21" spans="1:11" s="42" customFormat="1" ht="12.75" customHeight="1">
      <c r="A21" s="51"/>
      <c r="B21" s="51"/>
      <c r="C21" s="147"/>
      <c r="D21" s="596" t="str">
        <f>InpC!$F$26</f>
        <v>PR14</v>
      </c>
      <c r="E21" s="31" t="str">
        <f>'[1]Input Nominal'!E$810</f>
        <v xml:space="preserve">Wastewater: Number of measured households with standing charge </v>
      </c>
      <c r="F21" s="201"/>
      <c r="G21" s="201" t="s">
        <v>61</v>
      </c>
      <c r="H21" s="142">
        <f t="shared" si="0"/>
        <v>1342.6849999999999</v>
      </c>
      <c r="I21" s="707"/>
      <c r="J21" s="47">
        <f>'[1]Input Nominal'!$N$810</f>
        <v>1342.6849999999999</v>
      </c>
      <c r="K21" s="120"/>
    </row>
    <row r="22" spans="1:11" s="42" customFormat="1" ht="12.75" customHeight="1">
      <c r="A22" s="51"/>
      <c r="B22" s="51"/>
      <c r="C22" s="147"/>
      <c r="D22" s="596" t="str">
        <f>InpC!$F$26</f>
        <v>PR14</v>
      </c>
      <c r="E22" s="31" t="str">
        <f>'[1]Input Nominal'!E$811</f>
        <v>Households connected for water and wastewater - unmetered</v>
      </c>
      <c r="F22" s="201"/>
      <c r="G22" s="201" t="s">
        <v>61</v>
      </c>
      <c r="H22" s="142">
        <f t="shared" si="0"/>
        <v>1693.788</v>
      </c>
      <c r="I22" s="707"/>
      <c r="J22" s="47">
        <f>'[1]Input Nominal'!$N$811</f>
        <v>1693.788</v>
      </c>
      <c r="K22" s="120"/>
    </row>
    <row r="23" spans="1:11" s="42" customFormat="1" ht="12.75" customHeight="1">
      <c r="A23" s="51"/>
      <c r="B23" s="51"/>
      <c r="C23" s="147"/>
      <c r="D23" s="596" t="str">
        <f>InpC!$F$26</f>
        <v>PR14</v>
      </c>
      <c r="E23" s="31" t="str">
        <f>'[1]Input Nominal'!E$812</f>
        <v>Households connected for water and wastewater - metered</v>
      </c>
      <c r="F23" s="201"/>
      <c r="G23" s="201" t="s">
        <v>61</v>
      </c>
      <c r="H23" s="142">
        <f t="shared" si="0"/>
        <v>1863.7349999999999</v>
      </c>
      <c r="I23" s="707"/>
      <c r="J23" s="47">
        <f>'[1]Input Nominal'!$N$812</f>
        <v>1863.7349999999999</v>
      </c>
      <c r="K23" s="120"/>
    </row>
    <row r="24" spans="1:11" ht="12.75" customHeight="1">
      <c r="A24" s="25"/>
      <c r="B24" s="25"/>
      <c r="C24" s="26"/>
      <c r="D24" s="144"/>
      <c r="E24" s="115"/>
      <c r="F24" s="126"/>
      <c r="G24" s="125"/>
      <c r="H24" s="142"/>
      <c r="I24" s="145"/>
      <c r="J24" s="85"/>
      <c r="K24" s="120"/>
    </row>
    <row r="25" spans="1:11" s="42" customFormat="1" ht="12.75" customHeight="1">
      <c r="A25" s="51"/>
      <c r="B25" s="51"/>
      <c r="C25" s="147"/>
      <c r="D25" s="560" t="str">
        <f>InpC!$F$27</f>
        <v>PR19</v>
      </c>
      <c r="E25" s="47" t="str">
        <f>[2]InpActive!E$1329</f>
        <v>Households connected for water only - metered</v>
      </c>
      <c r="F25" s="47">
        <f>[2]InpActive!F$1329</f>
        <v>0</v>
      </c>
      <c r="G25" s="391" t="str">
        <f>[2]InpActive!G$1329</f>
        <v>000s</v>
      </c>
      <c r="H25" s="142">
        <f t="shared" ref="H25:H30" si="1" xml:space="preserve"> IF(I25 &lt;&gt; "", I25, J25)</f>
        <v>33.750999999999998</v>
      </c>
      <c r="I25" s="707"/>
      <c r="J25" s="47">
        <f>[2]InpActive!P$1329</f>
        <v>33.750999999999998</v>
      </c>
      <c r="K25" s="120"/>
    </row>
    <row r="26" spans="1:11" s="42" customFormat="1" ht="12.75" customHeight="1">
      <c r="A26" s="51"/>
      <c r="B26" s="51"/>
      <c r="C26" s="147"/>
      <c r="D26" s="560" t="str">
        <f>InpC!$F$27</f>
        <v>PR19</v>
      </c>
      <c r="E26" s="47" t="str">
        <f>[2]InpActive!E$1330</f>
        <v>Households connected for sewerage only - unmetered</v>
      </c>
      <c r="F26" s="47">
        <f>[2]InpActive!F$1330</f>
        <v>0</v>
      </c>
      <c r="G26" s="391" t="str">
        <f>[2]InpActive!G$1330</f>
        <v>000s</v>
      </c>
      <c r="H26" s="142">
        <f t="shared" si="1"/>
        <v>553.08500000000004</v>
      </c>
      <c r="I26" s="707"/>
      <c r="J26" s="47">
        <f>[2]InpActive!P$1330</f>
        <v>553.08500000000004</v>
      </c>
      <c r="K26" s="120"/>
    </row>
    <row r="27" spans="1:11" s="42" customFormat="1" ht="12.75" customHeight="1">
      <c r="A27" s="51"/>
      <c r="B27" s="51"/>
      <c r="C27" s="147"/>
      <c r="D27" s="560" t="str">
        <f>InpC!$F$27</f>
        <v>PR19</v>
      </c>
      <c r="E27" s="47" t="str">
        <f>[2]InpActive!E$1331</f>
        <v>Households connected for water and sewerage - metered</v>
      </c>
      <c r="F27" s="47">
        <f>[2]InpActive!F$1331</f>
        <v>0</v>
      </c>
      <c r="G27" s="391" t="str">
        <f>[2]InpActive!G$1331</f>
        <v>000s</v>
      </c>
      <c r="H27" s="142">
        <f t="shared" si="1"/>
        <v>2208.8989999999999</v>
      </c>
      <c r="I27" s="707"/>
      <c r="J27" s="47">
        <f>[2]InpActive!P$1331</f>
        <v>2208.8989999999999</v>
      </c>
      <c r="K27" s="120"/>
    </row>
    <row r="28" spans="1:11" s="42" customFormat="1" ht="12.75" customHeight="1">
      <c r="A28" s="51"/>
      <c r="B28" s="51"/>
      <c r="C28" s="147"/>
      <c r="D28" s="560" t="str">
        <f>InpC!$F$27</f>
        <v>PR19</v>
      </c>
      <c r="E28" s="47" t="str">
        <f>[2]InpActive!E$1332</f>
        <v>Households connected for water only - unmetered</v>
      </c>
      <c r="F28" s="47">
        <f>[2]InpActive!F$1332</f>
        <v>0</v>
      </c>
      <c r="G28" s="391" t="str">
        <f>[2]InpActive!G$1332</f>
        <v>000s</v>
      </c>
      <c r="H28" s="142">
        <f t="shared" si="1"/>
        <v>18.925000000000001</v>
      </c>
      <c r="I28" s="707"/>
      <c r="J28" s="47">
        <f>[2]InpActive!P$1332</f>
        <v>18.925000000000001</v>
      </c>
      <c r="K28" s="120"/>
    </row>
    <row r="29" spans="1:11" s="42" customFormat="1" ht="12.75" customHeight="1">
      <c r="A29" s="51"/>
      <c r="B29" s="51"/>
      <c r="C29" s="147"/>
      <c r="D29" s="560" t="str">
        <f>InpC!$F$27</f>
        <v>PR19</v>
      </c>
      <c r="E29" s="47" t="str">
        <f>[2]InpActive!E$1333</f>
        <v>Households connected for sewerage only - metered</v>
      </c>
      <c r="F29" s="47">
        <f>[2]InpActive!F$1333</f>
        <v>0</v>
      </c>
      <c r="G29" s="391" t="str">
        <f>[2]InpActive!G$1333</f>
        <v>000s</v>
      </c>
      <c r="H29" s="142">
        <f t="shared" si="1"/>
        <v>1526.117</v>
      </c>
      <c r="I29" s="707"/>
      <c r="J29" s="47">
        <f>[2]InpActive!P$1333</f>
        <v>1526.117</v>
      </c>
      <c r="K29" s="120"/>
    </row>
    <row r="30" spans="1:11" s="42" customFormat="1" ht="12.75" customHeight="1">
      <c r="A30" s="51"/>
      <c r="B30" s="51"/>
      <c r="C30" s="147"/>
      <c r="D30" s="560" t="str">
        <f>InpC!$F$27</f>
        <v>PR19</v>
      </c>
      <c r="E30" s="47" t="str">
        <f>[2]InpActive!E$1334</f>
        <v>Households connected for water and sewerage - unmetered</v>
      </c>
      <c r="F30" s="47">
        <f>[2]InpActive!F$1334</f>
        <v>0</v>
      </c>
      <c r="G30" s="391" t="str">
        <f>[2]InpActive!G$1334</f>
        <v>000s</v>
      </c>
      <c r="H30" s="142">
        <f t="shared" si="1"/>
        <v>1501.171</v>
      </c>
      <c r="I30" s="707"/>
      <c r="J30" s="47">
        <f>[2]InpActive!P$1334</f>
        <v>1501.171</v>
      </c>
      <c r="K30" s="120"/>
    </row>
    <row r="31" spans="1:11" ht="12.75" customHeight="1">
      <c r="A31" s="25"/>
      <c r="B31" s="25"/>
      <c r="C31" s="26"/>
      <c r="D31" s="144"/>
      <c r="E31" s="115"/>
      <c r="F31" s="126"/>
      <c r="G31" s="125"/>
      <c r="H31" s="142"/>
      <c r="I31" s="145"/>
      <c r="J31" s="85"/>
      <c r="K31" s="120"/>
    </row>
    <row r="32" spans="1:11" s="65" customFormat="1" ht="15" customHeight="1">
      <c r="A32" s="15" t="s">
        <v>62</v>
      </c>
      <c r="B32" s="15"/>
      <c r="C32" s="16"/>
      <c r="D32" s="135"/>
      <c r="E32" s="15"/>
      <c r="F32" s="17"/>
      <c r="G32" s="17"/>
      <c r="H32" s="17"/>
      <c r="I32" s="17"/>
      <c r="J32" s="15"/>
      <c r="K32" s="15"/>
    </row>
    <row r="33" spans="1:11" ht="12.75" customHeight="1">
      <c r="A33" s="43"/>
      <c r="E33" s="6"/>
      <c r="F33" s="121"/>
      <c r="G33" s="121"/>
      <c r="H33" s="142"/>
      <c r="J33" s="6"/>
    </row>
    <row r="34" spans="1:11">
      <c r="B34" s="11" t="s">
        <v>68</v>
      </c>
      <c r="H34" s="142"/>
    </row>
    <row r="35" spans="1:11">
      <c r="D35" s="596" t="str">
        <f>InpC!$F$26</f>
        <v>PR14</v>
      </c>
      <c r="E35" s="29" t="str">
        <f>'[1]Exec Summary'!E$32</f>
        <v>Retail allowed revenue per customer: single service</v>
      </c>
      <c r="F35" s="280"/>
      <c r="G35" s="280" t="s">
        <v>60</v>
      </c>
      <c r="H35" s="142">
        <f xml:space="preserve"> IF(I35 &lt;&gt; "", I35, J35)</f>
        <v>27.091142525470477</v>
      </c>
      <c r="I35" s="707"/>
      <c r="J35" s="49">
        <f>'[1]Exec Summary'!N$32</f>
        <v>27.091142525470477</v>
      </c>
    </row>
    <row r="36" spans="1:11" s="36" customFormat="1">
      <c r="A36" s="61"/>
      <c r="B36" s="61"/>
      <c r="C36" s="62"/>
      <c r="D36" s="596" t="str">
        <f>InpC!$F$26</f>
        <v>PR14</v>
      </c>
      <c r="E36" s="30" t="str">
        <f>'[1]Exec Summary'!E$35</f>
        <v>Retail allowed revenue per customer: joint services</v>
      </c>
      <c r="F36" s="280"/>
      <c r="G36" s="280" t="s">
        <v>60</v>
      </c>
      <c r="H36" s="142">
        <f xml:space="preserve"> IF(I36 &lt;&gt; "", I36, J36)</f>
        <v>35.218485283111619</v>
      </c>
      <c r="I36" s="707"/>
      <c r="J36" s="32">
        <f>'[1]Exec Summary'!N$35</f>
        <v>35.218485283111619</v>
      </c>
      <c r="K36" s="383" t="s">
        <v>294</v>
      </c>
    </row>
    <row r="37" spans="1:11">
      <c r="H37" s="142"/>
    </row>
    <row r="38" spans="1:11">
      <c r="A38" s="18"/>
      <c r="B38" s="18"/>
      <c r="C38" s="19"/>
      <c r="D38" s="560" t="str">
        <f>InpC!$F$27</f>
        <v>PR19</v>
      </c>
      <c r="E38" s="764" t="str">
        <f>[2]Summary_Calc!E$1116</f>
        <v>Retail allowed revenue per customer: single service - real</v>
      </c>
      <c r="F38" s="764">
        <f>[2]Summary_Calc!F$1116</f>
        <v>0</v>
      </c>
      <c r="G38" s="765" t="str">
        <f>[2]Summary_Calc!G$1116</f>
        <v>£</v>
      </c>
      <c r="H38" s="142">
        <f xml:space="preserve"> IF(I38 &lt;&gt; "", I38, J38)</f>
        <v>14.736192203084999</v>
      </c>
      <c r="I38" s="707"/>
      <c r="J38" s="763">
        <f>[2]Summary_Calc!P$1116</f>
        <v>14.736192203084999</v>
      </c>
      <c r="K38" s="606"/>
    </row>
    <row r="39" spans="1:11">
      <c r="A39" s="18"/>
      <c r="B39" s="18"/>
      <c r="C39" s="19"/>
      <c r="D39" s="560" t="str">
        <f>InpC!$F$27</f>
        <v>PR19</v>
      </c>
      <c r="E39" s="764" t="str">
        <f>[2]Summary_Calc!E$1121</f>
        <v>Retail allowed revenue per customer: joint service - real</v>
      </c>
      <c r="F39" s="764">
        <f>[2]Summary_Calc!F$1121</f>
        <v>0</v>
      </c>
      <c r="G39" s="765" t="str">
        <f>[2]Summary_Calc!G$1121</f>
        <v>£</v>
      </c>
      <c r="H39" s="142">
        <f xml:space="preserve"> IF(I39 &lt;&gt; "", I39, J39)</f>
        <v>29.511196849599258</v>
      </c>
      <c r="I39" s="707"/>
      <c r="J39" s="763">
        <f>[2]Summary_Calc!P$1121</f>
        <v>29.511196849599258</v>
      </c>
      <c r="K39" s="120"/>
    </row>
    <row r="40" spans="1:11">
      <c r="A40" s="18"/>
      <c r="B40" s="18"/>
      <c r="C40" s="19"/>
      <c r="D40" s="20"/>
      <c r="E40" s="20"/>
      <c r="F40" s="280"/>
      <c r="G40" s="280"/>
      <c r="H40" s="142"/>
      <c r="I40" s="280"/>
      <c r="J40" s="47"/>
      <c r="K40" s="606"/>
    </row>
    <row r="41" spans="1:11">
      <c r="A41" s="18"/>
      <c r="B41" s="18"/>
      <c r="C41" s="19"/>
      <c r="D41" s="596" t="str">
        <f>InpC!$F$26</f>
        <v>PR14</v>
      </c>
      <c r="E41" s="606" t="s">
        <v>647</v>
      </c>
      <c r="F41" s="280"/>
      <c r="G41" s="280" t="s">
        <v>648</v>
      </c>
      <c r="H41" s="707">
        <f xml:space="preserve"> H399</f>
        <v>35.357923005492978</v>
      </c>
      <c r="I41" s="280"/>
      <c r="J41" s="47"/>
      <c r="K41" s="606" t="s">
        <v>650</v>
      </c>
    </row>
    <row r="42" spans="1:11">
      <c r="C42" s="11"/>
      <c r="D42" s="560" t="str">
        <f>InpC!$F$27</f>
        <v>PR19</v>
      </c>
      <c r="E42" s="766" t="str">
        <f>[2]Summary_Calc!E$953</f>
        <v>Wholesale dummy control allowed revenue (excluding capital connection charges, other income and operating income) per residential customer  - real</v>
      </c>
      <c r="F42" s="766">
        <f>[2]Summary_Calc!F$953</f>
        <v>0</v>
      </c>
      <c r="G42" s="767" t="str">
        <f>[2]Summary_Calc!G$953</f>
        <v>£</v>
      </c>
      <c r="H42" s="142">
        <f xml:space="preserve"> IF(I42 &lt;&gt; "", I42, J42)</f>
        <v>19.273667616668259</v>
      </c>
      <c r="I42" s="707"/>
      <c r="J42" s="763">
        <f>[2]Summary_Calc!P$953</f>
        <v>19.273667616668259</v>
      </c>
      <c r="K42" s="119" t="s">
        <v>649</v>
      </c>
    </row>
    <row r="43" spans="1:11">
      <c r="C43" s="11"/>
      <c r="D43" s="168"/>
      <c r="E43" s="11"/>
      <c r="F43" s="390"/>
      <c r="G43" s="390"/>
      <c r="H43" s="142"/>
      <c r="I43" s="390"/>
      <c r="J43" s="11"/>
      <c r="K43" s="11"/>
    </row>
    <row r="44" spans="1:11">
      <c r="B44" s="11" t="s">
        <v>88</v>
      </c>
      <c r="H44" s="142"/>
    </row>
    <row r="45" spans="1:11">
      <c r="A45" s="18"/>
      <c r="B45" s="18"/>
      <c r="C45" s="19"/>
      <c r="D45" s="596" t="str">
        <f>InpC!$F$26</f>
        <v>PR14</v>
      </c>
      <c r="E45" s="20" t="str">
        <f>'[1]Exec Summary'!E$26</f>
        <v>Wholesale water allowed revenue per customer excluding capital connection charges, other income and operating income</v>
      </c>
      <c r="F45" s="280"/>
      <c r="G45" s="280" t="s">
        <v>60</v>
      </c>
      <c r="H45" s="142">
        <f xml:space="preserve"> IF(I45 &lt;&gt; "", I45, J45)</f>
        <v>168.18671460502523</v>
      </c>
      <c r="I45" s="707"/>
      <c r="J45" s="47">
        <f>'[1]Exec Summary'!N$26</f>
        <v>168.18671460502523</v>
      </c>
      <c r="K45" s="606"/>
    </row>
    <row r="46" spans="1:11">
      <c r="A46" s="18"/>
      <c r="B46" s="18"/>
      <c r="C46" s="19"/>
      <c r="D46" s="596" t="str">
        <f>InpC!$F$26</f>
        <v>PR14</v>
      </c>
      <c r="E46" s="20" t="str">
        <f>'[1]Exec Summary'!$E$29</f>
        <v>Wholesale Wastewater allowed revenue per customer excluding capital connection charges, other income and operating income</v>
      </c>
      <c r="F46" s="280"/>
      <c r="G46" s="280" t="s">
        <v>60</v>
      </c>
      <c r="H46" s="142">
        <f xml:space="preserve"> IF(I46 &lt;&gt; "", I46, J46)</f>
        <v>158.25979974834453</v>
      </c>
      <c r="I46" s="707"/>
      <c r="J46" s="47">
        <f>'[1]Exec Summary'!$N$29</f>
        <v>158.25979974834453</v>
      </c>
      <c r="K46" s="606"/>
    </row>
    <row r="47" spans="1:11">
      <c r="A47" s="18"/>
      <c r="B47" s="18"/>
      <c r="C47" s="19"/>
      <c r="D47" s="20"/>
      <c r="E47" s="20"/>
      <c r="F47" s="280"/>
      <c r="G47" s="280"/>
      <c r="H47" s="142"/>
      <c r="I47" s="280"/>
      <c r="J47" s="47"/>
      <c r="K47" s="606"/>
    </row>
    <row r="48" spans="1:11">
      <c r="A48" s="18"/>
      <c r="B48" s="18"/>
      <c r="C48" s="19"/>
      <c r="D48" s="596" t="str">
        <f>InpC!$F$26</f>
        <v>PR14</v>
      </c>
      <c r="E48" s="47" t="str">
        <f>'[1]Water Real AR'!E$268 &amp; " - real - water"</f>
        <v>Revenue requirement including tax charge - real - water</v>
      </c>
      <c r="F48" s="280"/>
      <c r="G48" s="280" t="s">
        <v>2</v>
      </c>
      <c r="H48" s="142">
        <f xml:space="preserve"> IF(I48 &lt;&gt; "", I48, J48)</f>
        <v>771.5270456350089</v>
      </c>
      <c r="I48" s="707"/>
      <c r="J48" s="47">
        <f>'[1]Water Real AR'!N$268</f>
        <v>771.5270456350089</v>
      </c>
      <c r="K48" s="606"/>
    </row>
    <row r="49" spans="1:11">
      <c r="A49" s="18"/>
      <c r="B49" s="18"/>
      <c r="C49" s="19"/>
      <c r="D49" s="596" t="str">
        <f>InpC!$F$26</f>
        <v>PR14</v>
      </c>
      <c r="E49" s="20" t="str">
        <f>'[1]Water Real AR'!E$287 &amp; " - real - water"</f>
        <v>Phase 9: Re-profiled allowed revenue - real - water</v>
      </c>
      <c r="F49" s="280"/>
      <c r="G49" s="280" t="s">
        <v>2</v>
      </c>
      <c r="H49" s="142">
        <f xml:space="preserve"> IF(I49 &lt;&gt; "", I49, J49)</f>
        <v>771.5270456350089</v>
      </c>
      <c r="I49" s="707"/>
      <c r="J49" s="47">
        <f>'[1]Water Real AR'!N$287</f>
        <v>771.5270456350089</v>
      </c>
      <c r="K49" s="606"/>
    </row>
    <row r="50" spans="1:11">
      <c r="A50" s="18"/>
      <c r="B50" s="18"/>
      <c r="C50" s="19"/>
      <c r="D50" s="596" t="str">
        <f>InpC!$F$26</f>
        <v>PR14</v>
      </c>
      <c r="E50" s="47" t="str">
        <f>'[1]Waste Real AR'!E$268 &amp; " - real - wastewater"</f>
        <v>Revenue requirement including tax charge - real - wastewater</v>
      </c>
      <c r="F50" s="280"/>
      <c r="G50" s="280" t="s">
        <v>2</v>
      </c>
      <c r="H50" s="142">
        <f xml:space="preserve"> IF(I50 &lt;&gt; "", I50, J50)</f>
        <v>1068.6690793427263</v>
      </c>
      <c r="I50" s="707"/>
      <c r="J50" s="47">
        <f>'[1]Waste Real AR'!N$268</f>
        <v>1068.6690793427263</v>
      </c>
      <c r="K50" s="606"/>
    </row>
    <row r="51" spans="1:11">
      <c r="A51" s="18"/>
      <c r="B51" s="18"/>
      <c r="C51" s="19"/>
      <c r="D51" s="596" t="str">
        <f>InpC!$F$26</f>
        <v>PR14</v>
      </c>
      <c r="E51" s="20" t="str">
        <f>'[1]Waste Real AR'!E$287 &amp; " - real - wastewater"</f>
        <v>Phase 9: Re-profiled allowed revenue - real - wastewater</v>
      </c>
      <c r="F51" s="280"/>
      <c r="G51" s="280" t="s">
        <v>2</v>
      </c>
      <c r="H51" s="142">
        <f xml:space="preserve"> IF(I51 &lt;&gt; "", I51, J51)</f>
        <v>1068.6690793427263</v>
      </c>
      <c r="I51" s="707"/>
      <c r="J51" s="47">
        <f>'[1]Waste Real AR'!N$287</f>
        <v>1068.6690793427263</v>
      </c>
      <c r="K51" s="606"/>
    </row>
    <row r="52" spans="1:11">
      <c r="A52" s="18"/>
      <c r="B52" s="18"/>
      <c r="C52" s="19"/>
      <c r="D52" s="20"/>
      <c r="E52" s="20"/>
      <c r="F52" s="280"/>
      <c r="G52" s="280"/>
      <c r="H52" s="142"/>
      <c r="I52" s="280"/>
      <c r="J52" s="20"/>
      <c r="K52" s="606"/>
    </row>
    <row r="53" spans="1:11">
      <c r="A53" s="18"/>
      <c r="B53" s="18"/>
      <c r="C53" s="19"/>
      <c r="D53" s="596" t="str">
        <f>InpC!$F$26</f>
        <v>PR14</v>
      </c>
      <c r="E53" s="20" t="str">
        <f>'[1]Input Nominal'!E$30</f>
        <v>Wholesale Water - household apportionment calculated</v>
      </c>
      <c r="F53" s="280"/>
      <c r="G53" s="280" t="s">
        <v>3</v>
      </c>
      <c r="H53" s="575">
        <f xml:space="preserve"> IF(I53 &lt;&gt; "", I53, J53)</f>
        <v>0.78588684040803036</v>
      </c>
      <c r="I53" s="729"/>
      <c r="J53" s="67">
        <f>'[1]Input Nominal'!N$30</f>
        <v>0.78588684040803036</v>
      </c>
      <c r="K53" s="606"/>
    </row>
    <row r="54" spans="1:11">
      <c r="A54" s="18"/>
      <c r="B54" s="18"/>
      <c r="C54" s="19"/>
      <c r="D54" s="596" t="str">
        <f>InpC!$F$26</f>
        <v>PR14</v>
      </c>
      <c r="E54" s="20" t="str">
        <f>'[1]Input Nominal'!E$31</f>
        <v>Wholesale Wastewater - household apportionment calculated</v>
      </c>
      <c r="F54" s="280"/>
      <c r="G54" s="280" t="s">
        <v>3</v>
      </c>
      <c r="H54" s="575">
        <f xml:space="preserve"> IF(I54 &lt;&gt; "", I54, J54)</f>
        <v>0.82002954478207513</v>
      </c>
      <c r="I54" s="729"/>
      <c r="J54" s="67">
        <f>'[1]Input Nominal'!N$31</f>
        <v>0.82002954478207513</v>
      </c>
      <c r="K54" s="606"/>
    </row>
    <row r="55" spans="1:11">
      <c r="A55" s="18"/>
      <c r="B55" s="18"/>
      <c r="C55" s="19"/>
      <c r="D55" s="565"/>
      <c r="E55" s="20"/>
      <c r="F55" s="389"/>
      <c r="G55" s="389"/>
      <c r="H55" s="142"/>
      <c r="I55" s="280"/>
      <c r="J55" s="67"/>
      <c r="K55" s="606"/>
    </row>
    <row r="56" spans="1:11">
      <c r="A56" s="18"/>
      <c r="B56" s="18"/>
      <c r="C56" s="19"/>
      <c r="D56" s="560" t="str">
        <f>InpC!$F$27</f>
        <v>PR19</v>
      </c>
      <c r="E56" s="47" t="str">
        <f>'[2]Water Resources'!E$193</f>
        <v>Revenue requirement with impact of reprofiling excl. tax charge - WR - nominal</v>
      </c>
      <c r="F56" s="47">
        <f>'[2]Water Resources'!F$193</f>
        <v>0</v>
      </c>
      <c r="G56" s="391" t="str">
        <f>'[2]Water Resources'!G$193</f>
        <v>£m</v>
      </c>
      <c r="H56" s="142">
        <f xml:space="preserve"> IF(I56 &lt;&gt; "", I56, J56)</f>
        <v>108.82069851278283</v>
      </c>
      <c r="I56" s="707"/>
      <c r="J56" s="47">
        <f>'[2]Water Resources'!P$193</f>
        <v>108.82069851278283</v>
      </c>
      <c r="K56" s="606"/>
    </row>
    <row r="57" spans="1:11">
      <c r="A57" s="18"/>
      <c r="B57" s="18"/>
      <c r="C57" s="19"/>
      <c r="D57" s="560" t="str">
        <f>InpC!$F$27</f>
        <v>PR19</v>
      </c>
      <c r="E57" s="47" t="str">
        <f>'[2]Water Network'!E$193</f>
        <v>Revenue requirement with impact of reprofiling excl. tax charge - WN - nominal</v>
      </c>
      <c r="F57" s="47">
        <f>'[2]Water Network'!F$193</f>
        <v>0</v>
      </c>
      <c r="G57" s="391" t="str">
        <f>'[2]Water Network'!G$193</f>
        <v>£m</v>
      </c>
      <c r="H57" s="142">
        <f xml:space="preserve"> IF(I57 &lt;&gt; "", I57, J57)</f>
        <v>1017.1204284713078</v>
      </c>
      <c r="I57" s="707"/>
      <c r="J57" s="47">
        <f>'[2]Water Network'!P$193</f>
        <v>1017.1204284713078</v>
      </c>
      <c r="K57" s="606"/>
    </row>
    <row r="58" spans="1:11">
      <c r="A58" s="18"/>
      <c r="B58" s="18"/>
      <c r="C58" s="19"/>
      <c r="D58" s="560" t="str">
        <f>InpC!$F$27</f>
        <v>PR19</v>
      </c>
      <c r="E58" s="47" t="str">
        <f>'[2]Wastewater Network'!E$193</f>
        <v>Revenue requirement with impact of reprofiling excl. tax charge - WWN - nominal</v>
      </c>
      <c r="F58" s="47">
        <f>'[2]Wastewater Network'!F$193</f>
        <v>0</v>
      </c>
      <c r="G58" s="391" t="str">
        <f>'[2]Wastewater Network'!G$193</f>
        <v>£m</v>
      </c>
      <c r="H58" s="142">
        <f xml:space="preserve"> IF(I58 &lt;&gt; "", I58, J58)</f>
        <v>916.69839884518296</v>
      </c>
      <c r="I58" s="707"/>
      <c r="J58" s="47">
        <f>'[2]Wastewater Network'!P$193</f>
        <v>916.69839884518296</v>
      </c>
      <c r="K58" s="606"/>
    </row>
    <row r="59" spans="1:11">
      <c r="A59" s="18"/>
      <c r="B59" s="18"/>
      <c r="C59" s="19"/>
      <c r="D59" s="560" t="str">
        <f>InpC!$F$27</f>
        <v>PR19</v>
      </c>
      <c r="E59" s="47" t="str">
        <f>'[2]Bio Resources'!E$193</f>
        <v>Revenue requirement with impact of reprofiling excl. tax charge - BR - nominal</v>
      </c>
      <c r="F59" s="47">
        <f>'[2]Bio Resources'!F$193</f>
        <v>0</v>
      </c>
      <c r="G59" s="391" t="str">
        <f>'[2]Bio Resources'!G$193</f>
        <v>£m</v>
      </c>
      <c r="H59" s="142">
        <f xml:space="preserve"> IF(I59 &lt;&gt; "", I59, J59)</f>
        <v>212.58383258492825</v>
      </c>
      <c r="I59" s="707"/>
      <c r="J59" s="47">
        <f>'[2]Bio Resources'!$P$193</f>
        <v>212.58383258492825</v>
      </c>
      <c r="K59" s="606"/>
    </row>
    <row r="60" spans="1:11">
      <c r="A60" s="18"/>
      <c r="B60" s="18"/>
      <c r="C60" s="19"/>
      <c r="D60" s="565"/>
      <c r="E60" s="47"/>
      <c r="F60" s="389"/>
      <c r="G60" s="389"/>
      <c r="H60" s="142"/>
      <c r="I60" s="280"/>
      <c r="J60" s="47"/>
      <c r="K60" s="606"/>
    </row>
    <row r="61" spans="1:11">
      <c r="A61" s="18"/>
      <c r="B61" s="18"/>
      <c r="C61" s="19"/>
      <c r="D61" s="560" t="str">
        <f>InpC!$F$27</f>
        <v>PR19</v>
      </c>
      <c r="E61" s="47" t="str">
        <f>'[2]Water Resources'!E$185</f>
        <v xml:space="preserve">Re-profiled allowed revenue adjusted (excl. tax) - WR - real </v>
      </c>
      <c r="F61" s="47">
        <f>'[2]Water Resources'!F$185</f>
        <v>0</v>
      </c>
      <c r="G61" s="391" t="str">
        <f>'[2]Water Resources'!G$185</f>
        <v>£m</v>
      </c>
      <c r="H61" s="142">
        <f xml:space="preserve"> IF(I61 &lt;&gt; "", I61, J61)</f>
        <v>94.818533597208315</v>
      </c>
      <c r="I61" s="707"/>
      <c r="J61" s="47">
        <f>'[2]Water Resources'!P$185</f>
        <v>94.818533597208315</v>
      </c>
      <c r="K61" s="606"/>
    </row>
    <row r="62" spans="1:11">
      <c r="A62" s="18"/>
      <c r="B62" s="18"/>
      <c r="C62" s="19"/>
      <c r="D62" s="560" t="str">
        <f>InpC!$F$27</f>
        <v>PR19</v>
      </c>
      <c r="E62" s="47" t="str">
        <f>'[2]Water Resources'!E$186</f>
        <v>Revenue requirement excluding tax charge - WR - real</v>
      </c>
      <c r="F62" s="47">
        <f>'[2]Water Resources'!F$186</f>
        <v>0</v>
      </c>
      <c r="G62" s="391" t="str">
        <f>'[2]Water Resources'!G$186</f>
        <v>£m</v>
      </c>
      <c r="H62" s="142">
        <f xml:space="preserve"> IF(I62 &lt;&gt; "", I62, J62)</f>
        <v>94.818533597208315</v>
      </c>
      <c r="I62" s="707"/>
      <c r="J62" s="47">
        <f>'[2]Water Resources'!P$186</f>
        <v>94.818533597208315</v>
      </c>
      <c r="K62" s="606"/>
    </row>
    <row r="63" spans="1:11" s="120" customFormat="1">
      <c r="A63" s="18"/>
      <c r="B63" s="18"/>
      <c r="C63" s="19"/>
      <c r="D63" s="560" t="str">
        <f>InpC!$F$27</f>
        <v>PR19</v>
      </c>
      <c r="E63" s="276" t="s">
        <v>642</v>
      </c>
      <c r="F63" s="675">
        <v>0</v>
      </c>
      <c r="G63" s="675" t="s">
        <v>2</v>
      </c>
      <c r="H63" s="142">
        <f xml:space="preserve"> H61 - H62</f>
        <v>0</v>
      </c>
      <c r="I63" s="606"/>
      <c r="J63" s="606"/>
      <c r="K63" s="606"/>
    </row>
    <row r="64" spans="1:11">
      <c r="A64" s="18"/>
      <c r="B64" s="18"/>
      <c r="C64" s="19"/>
      <c r="D64" s="47"/>
      <c r="E64" s="47"/>
      <c r="F64" s="389"/>
      <c r="G64" s="389"/>
      <c r="H64" s="47"/>
      <c r="I64" s="681"/>
      <c r="J64" s="47"/>
      <c r="K64" s="606"/>
    </row>
    <row r="65" spans="1:11">
      <c r="A65" s="18"/>
      <c r="B65" s="18"/>
      <c r="C65" s="19"/>
      <c r="D65" s="560" t="str">
        <f>InpC!$F$27</f>
        <v>PR19</v>
      </c>
      <c r="E65" s="47" t="str">
        <f>'[2]Water Network'!E$185</f>
        <v xml:space="preserve">Re-profiled allowed revenue adjusted (excl. tax) - WN - real </v>
      </c>
      <c r="F65" s="47">
        <f>'[2]Water Network'!F$185</f>
        <v>0</v>
      </c>
      <c r="G65" s="391" t="str">
        <f>'[2]Water Network'!G$185</f>
        <v>£m</v>
      </c>
      <c r="H65" s="142">
        <f xml:space="preserve"> IF(I65 &lt;&gt; "", I65, J65)</f>
        <v>886.24562089247104</v>
      </c>
      <c r="I65" s="707"/>
      <c r="J65" s="47">
        <f>'[2]Water Network'!P$185</f>
        <v>886.24562089247104</v>
      </c>
      <c r="K65" s="606"/>
    </row>
    <row r="66" spans="1:11">
      <c r="A66" s="18"/>
      <c r="B66" s="18"/>
      <c r="C66" s="19"/>
      <c r="D66" s="560" t="str">
        <f>InpC!$F$27</f>
        <v>PR19</v>
      </c>
      <c r="E66" s="47" t="str">
        <f>'[2]Water Network'!E$186</f>
        <v>Revenue requirement excluding tax charge - WN - real</v>
      </c>
      <c r="F66" s="47">
        <f>'[2]Water Network'!F$186</f>
        <v>0</v>
      </c>
      <c r="G66" s="391" t="str">
        <f>'[2]Water Network'!G$186</f>
        <v>£m</v>
      </c>
      <c r="H66" s="142">
        <f xml:space="preserve"> IF(I66 &lt;&gt; "", I66, J66)</f>
        <v>886.24562089247104</v>
      </c>
      <c r="I66" s="707"/>
      <c r="J66" s="47">
        <f>'[2]Water Network'!P$186</f>
        <v>886.24562089247104</v>
      </c>
      <c r="K66" s="606"/>
    </row>
    <row r="67" spans="1:11" s="120" customFormat="1">
      <c r="A67" s="18"/>
      <c r="B67" s="18"/>
      <c r="C67" s="19"/>
      <c r="D67" s="560" t="str">
        <f>InpC!$F$27</f>
        <v>PR19</v>
      </c>
      <c r="E67" s="276" t="s">
        <v>643</v>
      </c>
      <c r="F67" s="675">
        <v>0</v>
      </c>
      <c r="G67" s="675" t="s">
        <v>2</v>
      </c>
      <c r="H67" s="142">
        <f xml:space="preserve"> H65 - H66</f>
        <v>0</v>
      </c>
      <c r="I67" s="606"/>
      <c r="J67" s="606"/>
      <c r="K67" s="606"/>
    </row>
    <row r="68" spans="1:11">
      <c r="A68" s="18"/>
      <c r="B68" s="18"/>
      <c r="C68" s="19"/>
      <c r="D68" s="47"/>
      <c r="E68" s="47"/>
      <c r="F68" s="389"/>
      <c r="G68" s="389"/>
      <c r="H68" s="47"/>
      <c r="I68" s="681"/>
      <c r="J68" s="47"/>
      <c r="K68" s="606"/>
    </row>
    <row r="69" spans="1:11">
      <c r="A69" s="18"/>
      <c r="B69" s="18"/>
      <c r="C69" s="19"/>
      <c r="D69" s="560" t="str">
        <f>InpC!$F$27</f>
        <v>PR19</v>
      </c>
      <c r="E69" s="47" t="str">
        <f>'[2]Wastewater Network'!E$185</f>
        <v xml:space="preserve">Re-profiled allowed revenue adjusted (excl. tax) - WWN - real </v>
      </c>
      <c r="F69" s="47">
        <f>'[2]Wastewater Network'!F$185</f>
        <v>0</v>
      </c>
      <c r="G69" s="391" t="str">
        <f>'[2]Wastewater Network'!G$185</f>
        <v>£m</v>
      </c>
      <c r="H69" s="142">
        <f xml:space="preserve"> IF(I69 &lt;&gt; "", I69, J69)</f>
        <v>798.74508358535138</v>
      </c>
      <c r="I69" s="707"/>
      <c r="J69" s="47">
        <f>'[2]Wastewater Network'!P$185</f>
        <v>798.74508358535138</v>
      </c>
      <c r="K69" s="606"/>
    </row>
    <row r="70" spans="1:11">
      <c r="A70" s="18"/>
      <c r="B70" s="18"/>
      <c r="C70" s="19"/>
      <c r="D70" s="560" t="str">
        <f>InpC!$F$27</f>
        <v>PR19</v>
      </c>
      <c r="E70" s="47" t="str">
        <f>'[2]Wastewater Network'!E$186</f>
        <v>Revenue requirement excluding tax charge - WWN - real</v>
      </c>
      <c r="F70" s="47">
        <f>'[2]Wastewater Network'!F$186</f>
        <v>0</v>
      </c>
      <c r="G70" s="391" t="str">
        <f>'[2]Wastewater Network'!G$186</f>
        <v>£m</v>
      </c>
      <c r="H70" s="142">
        <f xml:space="preserve"> IF(I70 &lt;&gt; "", I70, J70)</f>
        <v>798.74508358535138</v>
      </c>
      <c r="I70" s="707"/>
      <c r="J70" s="47">
        <f>'[2]Wastewater Network'!P$186</f>
        <v>798.74508358535138</v>
      </c>
      <c r="K70" s="606"/>
    </row>
    <row r="71" spans="1:11" s="120" customFormat="1">
      <c r="A71" s="18"/>
      <c r="B71" s="18"/>
      <c r="C71" s="19"/>
      <c r="D71" s="560" t="str">
        <f>InpC!$F$27</f>
        <v>PR19</v>
      </c>
      <c r="E71" s="276" t="s">
        <v>644</v>
      </c>
      <c r="F71" s="675">
        <v>0</v>
      </c>
      <c r="G71" s="675" t="s">
        <v>2</v>
      </c>
      <c r="H71" s="142">
        <f xml:space="preserve"> H69 - H70</f>
        <v>0</v>
      </c>
      <c r="I71" s="606"/>
      <c r="J71" s="606"/>
      <c r="K71" s="606"/>
    </row>
    <row r="72" spans="1:11">
      <c r="A72" s="18"/>
      <c r="B72" s="18"/>
      <c r="C72" s="19"/>
      <c r="D72" s="47"/>
      <c r="E72" s="47"/>
      <c r="F72" s="389"/>
      <c r="G72" s="389"/>
      <c r="H72" s="47"/>
      <c r="I72" s="681"/>
      <c r="J72" s="47"/>
      <c r="K72" s="606"/>
    </row>
    <row r="73" spans="1:11">
      <c r="A73" s="18"/>
      <c r="B73" s="18"/>
      <c r="C73" s="19"/>
      <c r="D73" s="560" t="str">
        <f>InpC!$F$27</f>
        <v>PR19</v>
      </c>
      <c r="E73" s="47" t="str">
        <f>'[2]Bio Resources'!E$185</f>
        <v xml:space="preserve">Re-profiled allowed revenue adjusted (excl. tax) - BR - real </v>
      </c>
      <c r="F73" s="47">
        <f>'[2]Bio Resources'!F$185</f>
        <v>0</v>
      </c>
      <c r="G73" s="391" t="str">
        <f>'[2]Bio Resources'!G$185</f>
        <v>£m</v>
      </c>
      <c r="H73" s="142">
        <f xml:space="preserve"> IF(I73 &lt;&gt; "", I73, J73)</f>
        <v>185.23026912761048</v>
      </c>
      <c r="I73" s="707"/>
      <c r="J73" s="47">
        <f>'[2]Bio Resources'!P$185</f>
        <v>185.23026912761048</v>
      </c>
      <c r="K73" s="606"/>
    </row>
    <row r="74" spans="1:11">
      <c r="A74" s="18"/>
      <c r="B74" s="18"/>
      <c r="C74" s="19"/>
      <c r="D74" s="560" t="str">
        <f>InpC!$F$27</f>
        <v>PR19</v>
      </c>
      <c r="E74" s="47" t="str">
        <f>'[2]Bio Resources'!E$186</f>
        <v>Revenue requirement excluding tax charge - BR - real</v>
      </c>
      <c r="F74" s="47">
        <f>'[2]Bio Resources'!F$186</f>
        <v>0</v>
      </c>
      <c r="G74" s="391" t="str">
        <f>'[2]Bio Resources'!G$186</f>
        <v>£m</v>
      </c>
      <c r="H74" s="142">
        <f xml:space="preserve"> IF(I74 &lt;&gt; "", I74, J74)</f>
        <v>185.23026912761048</v>
      </c>
      <c r="I74" s="707"/>
      <c r="J74" s="47">
        <f>'[2]Bio Resources'!P$186</f>
        <v>185.23026912761048</v>
      </c>
      <c r="K74" s="606"/>
    </row>
    <row r="75" spans="1:11" s="120" customFormat="1">
      <c r="A75" s="18"/>
      <c r="B75" s="18"/>
      <c r="C75" s="19"/>
      <c r="D75" s="560" t="str">
        <f>InpC!$F$27</f>
        <v>PR19</v>
      </c>
      <c r="E75" s="276" t="s">
        <v>645</v>
      </c>
      <c r="F75" s="675">
        <v>0</v>
      </c>
      <c r="G75" s="675" t="s">
        <v>2</v>
      </c>
      <c r="H75" s="142">
        <f xml:space="preserve"> H73 - H74</f>
        <v>0</v>
      </c>
      <c r="I75" s="606"/>
      <c r="J75" s="606"/>
      <c r="K75" s="606"/>
    </row>
    <row r="76" spans="1:11">
      <c r="A76" s="18"/>
      <c r="B76" s="18"/>
      <c r="C76" s="19"/>
      <c r="D76" s="47"/>
      <c r="E76" s="47"/>
      <c r="F76" s="389"/>
      <c r="G76" s="389"/>
      <c r="H76" s="47"/>
      <c r="I76" s="681"/>
      <c r="J76" s="47"/>
      <c r="K76" s="606"/>
    </row>
    <row r="77" spans="1:11">
      <c r="A77" s="18"/>
      <c r="B77" s="18"/>
      <c r="C77" s="19"/>
      <c r="D77" s="560" t="str">
        <f>InpC!$F$27</f>
        <v>PR19</v>
      </c>
      <c r="E77" s="764" t="str">
        <f>[2]Summary_Calc!E$158</f>
        <v>Water resources- residential apportionment CALC</v>
      </c>
      <c r="F77" s="764">
        <f>[2]Summary_Calc!F$158</f>
        <v>0</v>
      </c>
      <c r="G77" s="765" t="str">
        <f>[2]Summary_Calc!G$158</f>
        <v>%</v>
      </c>
      <c r="H77" s="575">
        <f xml:space="preserve"> IF(I77 &lt;&gt; "", I77, J77)</f>
        <v>0.76659171210588117</v>
      </c>
      <c r="I77" s="729"/>
      <c r="J77" s="768">
        <f>[2]Summary_Calc!P$158</f>
        <v>0.76659171210588117</v>
      </c>
      <c r="K77" s="606"/>
    </row>
    <row r="78" spans="1:11">
      <c r="A78" s="18"/>
      <c r="B78" s="18"/>
      <c r="C78" s="19"/>
      <c r="D78" s="560" t="str">
        <f>InpC!$F$27</f>
        <v>PR19</v>
      </c>
      <c r="E78" s="764" t="str">
        <f>[2]Summary_Calc!E$350</f>
        <v>Water network - residential apportionment CALC</v>
      </c>
      <c r="F78" s="764">
        <f>[2]Summary_Calc!F$350</f>
        <v>0</v>
      </c>
      <c r="G78" s="765" t="str">
        <f>[2]Summary_Calc!G$350</f>
        <v>%</v>
      </c>
      <c r="H78" s="575">
        <f xml:space="preserve"> IF(I78 &lt;&gt; "", I78, J78)</f>
        <v>0.75766011799333921</v>
      </c>
      <c r="I78" s="729"/>
      <c r="J78" s="768">
        <f>[2]Summary_Calc!P$350</f>
        <v>0.75766011799333921</v>
      </c>
      <c r="K78" s="606"/>
    </row>
    <row r="79" spans="1:11">
      <c r="A79" s="18"/>
      <c r="B79" s="18"/>
      <c r="C79" s="19"/>
      <c r="D79" s="560" t="str">
        <f>InpC!$F$27</f>
        <v>PR19</v>
      </c>
      <c r="E79" s="764" t="str">
        <f>[2]Summary_Calc!E$575</f>
        <v>Wastewater network - residential apportionment CALC</v>
      </c>
      <c r="F79" s="764">
        <f>[2]Summary_Calc!F$575</f>
        <v>0</v>
      </c>
      <c r="G79" s="765" t="str">
        <f>[2]Summary_Calc!G$575</f>
        <v>%</v>
      </c>
      <c r="H79" s="575">
        <f xml:space="preserve"> IF(I79 &lt;&gt; "", I79, J79)</f>
        <v>0.80469926661052749</v>
      </c>
      <c r="I79" s="729"/>
      <c r="J79" s="768">
        <f>[2]Summary_Calc!P$575</f>
        <v>0.80469926661052749</v>
      </c>
      <c r="K79" s="380"/>
    </row>
    <row r="80" spans="1:11">
      <c r="A80" s="18"/>
      <c r="B80" s="18"/>
      <c r="C80" s="19"/>
      <c r="D80" s="560" t="str">
        <f>InpC!$F$27</f>
        <v>PR19</v>
      </c>
      <c r="E80" s="764" t="str">
        <f>[2]Summary_Calc!E$749</f>
        <v>Bio resources - residential apportionment CALC</v>
      </c>
      <c r="F80" s="764">
        <f>[2]Summary_Calc!F$749</f>
        <v>0</v>
      </c>
      <c r="G80" s="765" t="str">
        <f>[2]Summary_Calc!G$749</f>
        <v>%</v>
      </c>
      <c r="H80" s="575">
        <f xml:space="preserve"> IF(I80 &lt;&gt; "", I80, J80)</f>
        <v>0.80469926661052749</v>
      </c>
      <c r="I80" s="729"/>
      <c r="J80" s="768">
        <f>[2]Summary_Calc!P$749</f>
        <v>0.80469926661052749</v>
      </c>
      <c r="K80" s="380"/>
    </row>
    <row r="81" spans="1:11">
      <c r="A81" s="18"/>
      <c r="B81" s="18"/>
      <c r="C81" s="19"/>
      <c r="D81" s="565"/>
      <c r="E81" s="20"/>
      <c r="F81" s="389"/>
      <c r="G81" s="389"/>
      <c r="H81" s="142"/>
      <c r="I81" s="280"/>
      <c r="J81" s="20"/>
      <c r="K81" s="606"/>
    </row>
    <row r="82" spans="1:11" s="65" customFormat="1" ht="15" customHeight="1">
      <c r="A82" s="15" t="s">
        <v>4</v>
      </c>
      <c r="B82" s="15"/>
      <c r="C82" s="16"/>
      <c r="D82" s="135"/>
      <c r="E82" s="15"/>
      <c r="F82" s="17"/>
      <c r="G82" s="17"/>
      <c r="H82" s="17"/>
      <c r="I82" s="17"/>
      <c r="J82" s="15"/>
      <c r="K82" s="15"/>
    </row>
    <row r="83" spans="1:11" ht="12.75" customHeight="1">
      <c r="E83" s="29"/>
      <c r="F83" s="227"/>
      <c r="G83" s="44"/>
      <c r="H83" s="142"/>
      <c r="J83" s="29"/>
    </row>
    <row r="84" spans="1:11" ht="12.75" customHeight="1">
      <c r="D84" s="596" t="str">
        <f>InpC!$F$26</f>
        <v>PR14</v>
      </c>
      <c r="E84" s="144" t="s">
        <v>79</v>
      </c>
      <c r="F84" s="116"/>
      <c r="G84" s="145" t="s">
        <v>3</v>
      </c>
      <c r="H84" s="575">
        <f xml:space="preserve"> IF(I84 &lt;&gt; "", I84, J84)</f>
        <v>0.5</v>
      </c>
      <c r="I84" s="729"/>
      <c r="J84" s="575">
        <v>0.5</v>
      </c>
    </row>
    <row r="85" spans="1:11" ht="12.75" customHeight="1">
      <c r="E85" s="29"/>
      <c r="F85" s="227"/>
      <c r="G85" s="44"/>
      <c r="H85" s="142"/>
      <c r="J85" s="29"/>
    </row>
    <row r="86" spans="1:11">
      <c r="B86" s="11" t="s">
        <v>23</v>
      </c>
      <c r="H86" s="142"/>
    </row>
    <row r="87" spans="1:11" s="36" customFormat="1">
      <c r="A87" s="61"/>
      <c r="B87" s="61"/>
      <c r="C87" s="62"/>
      <c r="D87" s="596" t="str">
        <f>InpC!$F$26</f>
        <v>PR14</v>
      </c>
      <c r="E87" s="32" t="str">
        <f>'[1]Water Real AR'!E$87 &amp; " - real - Water"</f>
        <v>Totex - real - Water</v>
      </c>
      <c r="F87" s="675"/>
      <c r="G87" s="384" t="s">
        <v>2</v>
      </c>
      <c r="H87" s="142">
        <f xml:space="preserve"> IF(I87 &lt;&gt; "", I87, J87)</f>
        <v>657.01025522329905</v>
      </c>
      <c r="I87" s="707"/>
      <c r="J87" s="32">
        <f>'[1]Water Real AR'!N$87</f>
        <v>657.01025522329905</v>
      </c>
      <c r="K87" s="220"/>
    </row>
    <row r="88" spans="1:11" ht="12.75" customHeight="1">
      <c r="D88" s="596" t="str">
        <f>InpC!$F$26</f>
        <v>PR14</v>
      </c>
      <c r="E88" s="29" t="str">
        <f>'[1]Waste Real AR'!E$87 &amp; " - real - Wastewater"</f>
        <v>Totex - real - Wastewater</v>
      </c>
      <c r="F88" s="675"/>
      <c r="G88" s="384" t="s">
        <v>2</v>
      </c>
      <c r="H88" s="142">
        <f xml:space="preserve"> IF(I88 &lt;&gt; "", I88, J88)</f>
        <v>615.22963559942889</v>
      </c>
      <c r="I88" s="796">
        <f>IF(InpC!$F$64=0,"",H409)</f>
        <v>615.22963559942889</v>
      </c>
      <c r="J88" s="49">
        <f>'[1]Waste Real AR'!N$87</f>
        <v>639.42238998442963</v>
      </c>
      <c r="K88" s="220"/>
    </row>
    <row r="89" spans="1:11" ht="12.75" customHeight="1">
      <c r="D89" s="596" t="str">
        <f>InpC!$F$26</f>
        <v>PR14</v>
      </c>
      <c r="E89" s="29" t="str">
        <f>'[1]Water Real AR'!$E$88 &amp; " - real - Water"</f>
        <v>PAYG Totex - real - Water</v>
      </c>
      <c r="F89" s="675"/>
      <c r="G89" s="384" t="s">
        <v>2</v>
      </c>
      <c r="H89" s="142">
        <f xml:space="preserve"> IF(I89 &lt;&gt; "", I89, J89)</f>
        <v>405.13882047593307</v>
      </c>
      <c r="I89" s="707"/>
      <c r="J89" s="49">
        <f>'[1]Water Real AR'!$N$88</f>
        <v>405.13882047593307</v>
      </c>
      <c r="K89" s="220"/>
    </row>
    <row r="90" spans="1:11">
      <c r="D90" s="596" t="str">
        <f>InpC!$F$26</f>
        <v>PR14</v>
      </c>
      <c r="E90" s="29" t="str">
        <f>'[1]Waste Real AR'!$E$88 &amp; " - real - Wastewater"</f>
        <v>PAYG Totex - real - Wastewater</v>
      </c>
      <c r="F90" s="675"/>
      <c r="G90" s="384" t="s">
        <v>2</v>
      </c>
      <c r="H90" s="142">
        <f xml:space="preserve"> IF(I90 &lt;&gt; "", I90, J90)</f>
        <v>332.29797981985269</v>
      </c>
      <c r="I90" s="707"/>
      <c r="J90" s="49">
        <f>'[1]Waste Real AR'!$N$88</f>
        <v>332.29797981985269</v>
      </c>
    </row>
    <row r="91" spans="1:11" ht="12.75" customHeight="1">
      <c r="E91" s="29"/>
      <c r="F91" s="227"/>
      <c r="G91" s="44"/>
      <c r="H91" s="142"/>
      <c r="J91" s="29"/>
      <c r="K91" s="142"/>
    </row>
    <row r="92" spans="1:11" ht="12.75" customHeight="1">
      <c r="D92" s="560" t="str">
        <f>InpC!$F$27</f>
        <v>PR19</v>
      </c>
      <c r="E92" s="50" t="str">
        <f>'[2]Water Resources'!E$457</f>
        <v>Totex - net of grants and contributions - WR (post sensi adj) - nominal</v>
      </c>
      <c r="F92" s="50">
        <f>'[2]Water Resources'!F$457</f>
        <v>0</v>
      </c>
      <c r="G92" s="273" t="str">
        <f>'[2]Water Resources'!G$457</f>
        <v>£m</v>
      </c>
      <c r="H92" s="142">
        <f t="shared" ref="H92:H99" si="2" xml:space="preserve"> IF(I92 &lt;&gt; "", I92, J92)</f>
        <v>125.5936248111251</v>
      </c>
      <c r="I92" s="707"/>
      <c r="J92" s="50">
        <f>'[2]Water Resources'!P$457</f>
        <v>125.5936248111251</v>
      </c>
      <c r="K92" s="142"/>
    </row>
    <row r="93" spans="1:11">
      <c r="D93" s="560" t="str">
        <f>InpC!$F$27</f>
        <v>PR19</v>
      </c>
      <c r="E93" s="29" t="str">
        <f>'[2]Water Network'!E$457</f>
        <v>Totex - net of grants and contributions - WN (post sensi adj) - nominal</v>
      </c>
      <c r="F93" s="29">
        <f>'[2]Water Network'!F$457</f>
        <v>0</v>
      </c>
      <c r="G93" s="44" t="str">
        <f>'[2]Water Network'!G$457</f>
        <v>£m</v>
      </c>
      <c r="H93" s="142">
        <f t="shared" si="2"/>
        <v>1006.9333628441664</v>
      </c>
      <c r="I93" s="707"/>
      <c r="J93" s="49">
        <f>'[2]Water Network'!P$457</f>
        <v>1006.9333628441664</v>
      </c>
      <c r="K93" s="142"/>
    </row>
    <row r="94" spans="1:11" ht="12.75" customHeight="1">
      <c r="D94" s="560" t="str">
        <f>InpC!$F$27</f>
        <v>PR19</v>
      </c>
      <c r="E94" s="29" t="str">
        <f>'[2]Wastewater Network'!E$457</f>
        <v>Totex - net of grants and contributions - WWN (post sensi adj) - nominal</v>
      </c>
      <c r="F94" s="29">
        <f>'[2]Wastewater Network'!F$457</f>
        <v>0</v>
      </c>
      <c r="G94" s="44" t="str">
        <f>'[2]Wastewater Network'!G$457</f>
        <v>£m</v>
      </c>
      <c r="H94" s="142">
        <f t="shared" si="2"/>
        <v>855.60094786309423</v>
      </c>
      <c r="I94" s="707"/>
      <c r="J94" s="50">
        <f>'[2]Wastewater Network'!$P$457</f>
        <v>855.60094786309423</v>
      </c>
      <c r="K94" s="118"/>
    </row>
    <row r="95" spans="1:11" ht="12.75" customHeight="1">
      <c r="D95" s="560" t="str">
        <f>InpC!$F$27</f>
        <v>PR19</v>
      </c>
      <c r="E95" s="29" t="str">
        <f>'[2]Bio Resources'!E$457</f>
        <v>Totex - net of grants and contributions - BR (post sensi adj) - nominal</v>
      </c>
      <c r="F95" s="29">
        <f>'[2]Bio Resources'!F$457</f>
        <v>0</v>
      </c>
      <c r="G95" s="44" t="str">
        <f>'[2]Bio Resources'!G$457</f>
        <v>£m</v>
      </c>
      <c r="H95" s="142">
        <f t="shared" si="2"/>
        <v>125.41159438266808</v>
      </c>
      <c r="I95" s="707"/>
      <c r="J95" s="50">
        <f>'[2]Bio Resources'!$P$457</f>
        <v>125.41159438266808</v>
      </c>
      <c r="K95" s="118"/>
    </row>
    <row r="96" spans="1:11" ht="12.75" customHeight="1">
      <c r="D96" s="560" t="str">
        <f>InpC!$F$27</f>
        <v>PR19</v>
      </c>
      <c r="E96" s="29" t="str">
        <f>'[2]Water Resources'!E$466</f>
        <v>Water resources: PAYG Totex - nominal</v>
      </c>
      <c r="F96" s="29">
        <f>'[2]Water Resources'!F$466</f>
        <v>0</v>
      </c>
      <c r="G96" s="44" t="str">
        <f>'[2]Water Resources'!G$466</f>
        <v>£m</v>
      </c>
      <c r="H96" s="142">
        <f t="shared" si="2"/>
        <v>78.108132518194196</v>
      </c>
      <c r="I96" s="707"/>
      <c r="J96" s="50">
        <f>'[2]Water Resources'!P$466</f>
        <v>78.108132518194196</v>
      </c>
      <c r="K96" s="118"/>
    </row>
    <row r="97" spans="1:11" ht="12.75" customHeight="1">
      <c r="D97" s="560" t="str">
        <f>InpC!$F$27</f>
        <v>PR19</v>
      </c>
      <c r="E97" s="29" t="str">
        <f>'[2]Water Network'!E$466</f>
        <v>Water network: PAYG Totex - nominal</v>
      </c>
      <c r="F97" s="29">
        <f>'[2]Water Network'!F$466</f>
        <v>0</v>
      </c>
      <c r="G97" s="44" t="str">
        <f>'[2]Water Network'!G$466</f>
        <v>£m</v>
      </c>
      <c r="H97" s="142">
        <f t="shared" si="2"/>
        <v>404.63314884215987</v>
      </c>
      <c r="I97" s="707"/>
      <c r="J97" s="50">
        <f>'[2]Water Network'!P$466</f>
        <v>404.63314884215987</v>
      </c>
      <c r="K97" s="118"/>
    </row>
    <row r="98" spans="1:11" ht="12.75" customHeight="1">
      <c r="D98" s="560" t="str">
        <f>InpC!$F$27</f>
        <v>PR19</v>
      </c>
      <c r="E98" s="29" t="str">
        <f>'[2]Wastewater Network'!E$466</f>
        <v>Wastewater network: PAYG Totex - nominal</v>
      </c>
      <c r="F98" s="29">
        <f>'[2]Wastewater Network'!F$466</f>
        <v>0</v>
      </c>
      <c r="G98" s="44" t="str">
        <f>'[2]Wastewater Network'!G$466</f>
        <v>£m</v>
      </c>
      <c r="H98" s="142">
        <f t="shared" si="2"/>
        <v>351.37021019701632</v>
      </c>
      <c r="I98" s="707"/>
      <c r="J98" s="50">
        <f>'[2]Wastewater Network'!P$466</f>
        <v>351.37021019701632</v>
      </c>
      <c r="K98" s="118"/>
    </row>
    <row r="99" spans="1:11" ht="12.75" customHeight="1">
      <c r="D99" s="560" t="str">
        <f>InpC!$F$27</f>
        <v>PR19</v>
      </c>
      <c r="E99" s="29" t="str">
        <f>'[2]Bio Resources'!E$466</f>
        <v>Bio resources: PAYG Totex - nominal</v>
      </c>
      <c r="F99" s="29">
        <f>'[2]Bio Resources'!F$466</f>
        <v>0</v>
      </c>
      <c r="G99" s="44" t="str">
        <f>'[2]Bio Resources'!G$466</f>
        <v>£m</v>
      </c>
      <c r="H99" s="142">
        <f t="shared" si="2"/>
        <v>54.774937515074328</v>
      </c>
      <c r="I99" s="707"/>
      <c r="J99" s="50">
        <f>'[2]Bio Resources'!P$466</f>
        <v>54.774937515074328</v>
      </c>
      <c r="K99" s="118"/>
    </row>
    <row r="100" spans="1:11" ht="12.75" customHeight="1">
      <c r="D100" s="565"/>
      <c r="E100" s="29"/>
      <c r="F100" s="44"/>
      <c r="G100" s="44"/>
      <c r="H100" s="142"/>
      <c r="J100" s="50"/>
      <c r="K100" s="606"/>
    </row>
    <row r="101" spans="1:11" ht="12.75" customHeight="1">
      <c r="D101" s="560" t="str">
        <f>InpC!$F$27</f>
        <v>PR19</v>
      </c>
      <c r="E101" s="50" t="str">
        <f>'[2]Water Resources'!E465</f>
        <v>PAYG% - water resources - active - WR</v>
      </c>
      <c r="F101" s="50">
        <f>'[2]Water Resources'!F465</f>
        <v>0</v>
      </c>
      <c r="G101" s="273" t="str">
        <f>'[2]Water Resources'!G465</f>
        <v>%</v>
      </c>
      <c r="H101" s="575">
        <f xml:space="preserve"> IF(I101 &lt;&gt; "", I101, J101)</f>
        <v>0.62191160288316938</v>
      </c>
      <c r="I101" s="729"/>
      <c r="J101" s="74">
        <f>'[2]Water Resources'!P465</f>
        <v>0.62191160288316938</v>
      </c>
      <c r="K101" s="311" t="s">
        <v>355</v>
      </c>
    </row>
    <row r="102" spans="1:11" ht="12.75" customHeight="1">
      <c r="D102" s="560" t="str">
        <f>InpC!$F$27</f>
        <v>PR19</v>
      </c>
      <c r="E102" s="29" t="str">
        <f>'[2]Water Network'!E465</f>
        <v>PAYG% - water network - active - WN</v>
      </c>
      <c r="F102" s="29">
        <f>'[2]Water Network'!F465</f>
        <v>0</v>
      </c>
      <c r="G102" s="44" t="str">
        <f>'[2]Water Network'!G465</f>
        <v>%</v>
      </c>
      <c r="H102" s="575">
        <f xml:space="preserve"> IF(I102 &lt;&gt; "", I102, J102)</f>
        <v>0.40184699779858335</v>
      </c>
      <c r="I102" s="729"/>
      <c r="J102" s="66">
        <f>'[2]Water Network'!P465</f>
        <v>0.40184699779858335</v>
      </c>
      <c r="K102" s="311" t="s">
        <v>355</v>
      </c>
    </row>
    <row r="103" spans="1:11" ht="12.75" customHeight="1">
      <c r="D103" s="560" t="str">
        <f>InpC!$F$27</f>
        <v>PR19</v>
      </c>
      <c r="E103" s="29" t="str">
        <f>'[2]Wastewater Network'!E465</f>
        <v>PAYG% - wastewater network - active - WWN</v>
      </c>
      <c r="F103" s="29">
        <f>'[2]Wastewater Network'!F465</f>
        <v>0</v>
      </c>
      <c r="G103" s="44" t="str">
        <f>'[2]Wastewater Network'!G465</f>
        <v>%</v>
      </c>
      <c r="H103" s="575">
        <f xml:space="preserve"> IF(I103 &lt;&gt; "", I103, J103)</f>
        <v>0.41067066495728044</v>
      </c>
      <c r="I103" s="729"/>
      <c r="J103" s="66">
        <f>'[2]Wastewater Network'!P465</f>
        <v>0.41067066495728044</v>
      </c>
      <c r="K103" s="311" t="s">
        <v>355</v>
      </c>
    </row>
    <row r="104" spans="1:11" ht="12.75" customHeight="1">
      <c r="D104" s="560" t="str">
        <f>InpC!$F$27</f>
        <v>PR19</v>
      </c>
      <c r="E104" s="29" t="str">
        <f>'[2]Bio Resources'!E465</f>
        <v>PAYG% - bio resources - active - BR</v>
      </c>
      <c r="F104" s="29">
        <f>'[2]Bio Resources'!F465</f>
        <v>0</v>
      </c>
      <c r="G104" s="44" t="str">
        <f>'[2]Bio Resources'!G465</f>
        <v>%</v>
      </c>
      <c r="H104" s="575">
        <f xml:space="preserve"> IF(I104 &lt;&gt; "", I104, J104)</f>
        <v>0.43676135196830124</v>
      </c>
      <c r="I104" s="729"/>
      <c r="J104" s="66">
        <f>'[2]Bio Resources'!P465</f>
        <v>0.43676135196830124</v>
      </c>
      <c r="K104" s="311" t="s">
        <v>355</v>
      </c>
    </row>
    <row r="105" spans="1:11" ht="12.75" customHeight="1">
      <c r="E105" s="29"/>
      <c r="F105" s="44"/>
      <c r="G105" s="44"/>
      <c r="H105" s="142"/>
      <c r="J105" s="50"/>
    </row>
    <row r="106" spans="1:11">
      <c r="B106" s="11" t="s">
        <v>257</v>
      </c>
      <c r="H106" s="142"/>
    </row>
    <row r="107" spans="1:11" s="545" customFormat="1" ht="12.75" customHeight="1">
      <c r="A107" s="106"/>
      <c r="B107" s="106"/>
      <c r="C107" s="107" t="s">
        <v>28</v>
      </c>
      <c r="D107" s="165"/>
      <c r="E107" s="109"/>
      <c r="F107" s="108"/>
      <c r="G107" s="108"/>
      <c r="H107" s="142"/>
      <c r="I107" s="108"/>
      <c r="J107" s="109"/>
      <c r="K107" s="109"/>
    </row>
    <row r="108" spans="1:11" ht="12.75" customHeight="1">
      <c r="A108" s="22"/>
      <c r="D108" s="596" t="str">
        <f>InpC!$F$26</f>
        <v>PR14</v>
      </c>
      <c r="E108" s="23" t="str">
        <f>'[1]Water Real AR'!$E$82 &amp; " - real - water"</f>
        <v>RCV as at 2015 - real - water</v>
      </c>
      <c r="F108" s="675"/>
      <c r="G108" s="676" t="s">
        <v>2</v>
      </c>
      <c r="H108" s="142">
        <f xml:space="preserve"> IF(I108 &lt;&gt; "", I108, J108)</f>
        <v>4064.2755163313873</v>
      </c>
      <c r="I108" s="707"/>
      <c r="J108" s="47">
        <f>'[1]Water Real AR'!$N$82</f>
        <v>4064.2755163313873</v>
      </c>
      <c r="K108" s="605"/>
    </row>
    <row r="109" spans="1:11" ht="12.75" customHeight="1">
      <c r="A109" s="22"/>
      <c r="D109" s="596" t="str">
        <f>InpC!$F$26</f>
        <v>PR14</v>
      </c>
      <c r="E109" s="23" t="str">
        <f>'[1]Water Real AR'!E$83 &amp; " - real - water"</f>
        <v>Depreciation of 2015 RCV - real - water</v>
      </c>
      <c r="F109" s="675"/>
      <c r="G109" s="676" t="s">
        <v>2</v>
      </c>
      <c r="H109" s="142">
        <f xml:space="preserve"> IF(I109 &lt;&gt; "", I109, J109)</f>
        <v>-114.78621536638822</v>
      </c>
      <c r="I109" s="707"/>
      <c r="J109" s="47">
        <f>'[1]Water Real AR'!N$83</f>
        <v>-114.78621536638822</v>
      </c>
      <c r="K109" s="605"/>
    </row>
    <row r="110" spans="1:11" ht="12.75" customHeight="1">
      <c r="D110" s="596" t="str">
        <f>InpC!$F$26</f>
        <v>PR14</v>
      </c>
      <c r="E110" s="29" t="str">
        <f>'[1]Input Nominal'!E$171 &amp; " - Water"</f>
        <v>RCV Additions: Average Asset Life (to 1dp) - Water</v>
      </c>
      <c r="F110" s="610"/>
      <c r="G110" s="149" t="s">
        <v>78</v>
      </c>
      <c r="H110" s="142">
        <f xml:space="preserve"> IF(I110 &lt;&gt; "", I110, J110)</f>
        <v>20.182673768262308</v>
      </c>
      <c r="I110" s="708"/>
      <c r="J110" s="294">
        <f>'[1]Input Nominal'!H$171</f>
        <v>20.182673768262308</v>
      </c>
    </row>
    <row r="111" spans="1:11">
      <c r="D111" s="596" t="str">
        <f>InpC!$F$26</f>
        <v>PR14</v>
      </c>
      <c r="E111" s="103" t="str">
        <f>'[1]Water Real AR'!E$89 &amp; " in year additions - real"</f>
        <v>Non-PAYG Totex in year additions - real</v>
      </c>
      <c r="F111" s="677"/>
      <c r="G111" s="677" t="s">
        <v>2</v>
      </c>
      <c r="H111" s="142">
        <f xml:space="preserve"> IF(I111 &lt;&gt; "", I111, J111)</f>
        <v>251.87143474736598</v>
      </c>
      <c r="I111" s="707"/>
      <c r="J111" s="49">
        <f>'[1]Water Real AR'!N$89</f>
        <v>251.87143474736598</v>
      </c>
    </row>
    <row r="112" spans="1:11">
      <c r="D112" s="103"/>
      <c r="E112" s="103"/>
      <c r="F112" s="677"/>
      <c r="G112" s="677"/>
      <c r="H112" s="142"/>
      <c r="I112" s="680"/>
      <c r="J112" s="49"/>
    </row>
    <row r="113" spans="1:11" ht="12.75" customHeight="1">
      <c r="A113" s="22"/>
      <c r="B113" s="22"/>
      <c r="C113" s="226"/>
      <c r="D113" s="596" t="str">
        <f>InpC!$F$26</f>
        <v>PR14</v>
      </c>
      <c r="E113" s="31" t="str">
        <f>'[1]Water Real AR'!E$93 &amp; " - real"</f>
        <v>Non-PAYG Totex - real</v>
      </c>
      <c r="F113" s="391"/>
      <c r="G113" s="677" t="s">
        <v>2</v>
      </c>
      <c r="H113" s="142">
        <f xml:space="preserve"> IF(I113 &lt;&gt; "", I113, J113)</f>
        <v>285.82552111367039</v>
      </c>
      <c r="I113" s="707"/>
      <c r="J113" s="47">
        <f>'[1]Water Real AR'!$J$93</f>
        <v>285.82552111367039</v>
      </c>
      <c r="K113" s="311"/>
    </row>
    <row r="114" spans="1:11" ht="12.75" customHeight="1">
      <c r="A114" s="22"/>
      <c r="B114" s="22"/>
      <c r="C114" s="226"/>
      <c r="D114" s="596" t="str">
        <f>InpC!$F$26</f>
        <v>PR14</v>
      </c>
      <c r="E114" s="31" t="str">
        <f>'[1]Water Real AR'!E$93 &amp; " - real"</f>
        <v>Non-PAYG Totex - real</v>
      </c>
      <c r="F114" s="391"/>
      <c r="G114" s="677" t="s">
        <v>2</v>
      </c>
      <c r="H114" s="142">
        <f xml:space="preserve"> IF(I114 &lt;&gt; "", I114, J114)</f>
        <v>301.77329073849882</v>
      </c>
      <c r="I114" s="707"/>
      <c r="J114" s="47">
        <f>'[1]Water Real AR'!$K$93</f>
        <v>301.77329073849882</v>
      </c>
      <c r="K114" s="311"/>
    </row>
    <row r="115" spans="1:11" ht="12.75" customHeight="1">
      <c r="A115" s="22"/>
      <c r="B115" s="22"/>
      <c r="C115" s="226"/>
      <c r="D115" s="596" t="str">
        <f>InpC!$F$26</f>
        <v>PR14</v>
      </c>
      <c r="E115" s="31" t="str">
        <f>'[1]Water Real AR'!E$93 &amp; " - real"</f>
        <v>Non-PAYG Totex - real</v>
      </c>
      <c r="F115" s="391"/>
      <c r="G115" s="677" t="s">
        <v>2</v>
      </c>
      <c r="H115" s="142">
        <f xml:space="preserve"> IF(I115 &lt;&gt; "", I115, J115)</f>
        <v>286.86882818910965</v>
      </c>
      <c r="I115" s="707"/>
      <c r="J115" s="47">
        <f>'[1]Water Real AR'!$L$93</f>
        <v>286.86882818910965</v>
      </c>
      <c r="K115" s="311"/>
    </row>
    <row r="116" spans="1:11" ht="12.75" customHeight="1">
      <c r="A116" s="22"/>
      <c r="B116" s="22"/>
      <c r="C116" s="226"/>
      <c r="D116" s="737" t="str">
        <f>InpC!$F$26</f>
        <v>PR14</v>
      </c>
      <c r="E116" s="31" t="str">
        <f>'[1]Water Real AR'!E$93 &amp; " - real"</f>
        <v>Non-PAYG Totex - real</v>
      </c>
      <c r="F116" s="391"/>
      <c r="G116" s="677" t="s">
        <v>2</v>
      </c>
      <c r="H116" s="142">
        <f xml:space="preserve"> IF(I116 &lt;&gt; "", I116, J116)</f>
        <v>272.17643502235768</v>
      </c>
      <c r="I116" s="707"/>
      <c r="J116" s="47">
        <f>'[1]Water Real AR'!$M$93</f>
        <v>272.17643502235768</v>
      </c>
      <c r="K116" s="311"/>
    </row>
    <row r="117" spans="1:11">
      <c r="D117" s="738" t="str">
        <f>InpC!$F$26</f>
        <v>PR14</v>
      </c>
      <c r="E117" s="739" t="s">
        <v>639</v>
      </c>
      <c r="F117" s="130"/>
      <c r="G117" s="740" t="s">
        <v>2</v>
      </c>
      <c r="H117" s="181">
        <f>SUM(H113:H116)</f>
        <v>1146.6440750636366</v>
      </c>
    </row>
    <row r="118" spans="1:11" ht="12.75" customHeight="1">
      <c r="A118" s="22"/>
      <c r="B118" s="22"/>
      <c r="C118" s="226"/>
      <c r="D118" s="31"/>
      <c r="E118" s="31"/>
      <c r="F118" s="391"/>
      <c r="G118" s="227"/>
      <c r="H118" s="142"/>
      <c r="I118" s="201"/>
      <c r="J118" s="225"/>
      <c r="K118" s="311"/>
    </row>
    <row r="119" spans="1:11" s="545" customFormat="1" ht="12.75" customHeight="1">
      <c r="A119" s="106"/>
      <c r="B119" s="106"/>
      <c r="C119" s="107" t="s">
        <v>7</v>
      </c>
      <c r="D119" s="165"/>
      <c r="E119" s="109"/>
      <c r="F119" s="108"/>
      <c r="G119" s="108"/>
      <c r="H119" s="142"/>
      <c r="I119" s="108"/>
      <c r="J119" s="109"/>
      <c r="K119" s="109"/>
    </row>
    <row r="120" spans="1:11" ht="12.75" customHeight="1">
      <c r="A120" s="22"/>
      <c r="D120" s="596" t="str">
        <f>InpC!$F$26</f>
        <v>PR14</v>
      </c>
      <c r="E120" s="23" t="str">
        <f>'[1]Waste Real AR'!$E$82 &amp; " - real - Wastewater"</f>
        <v>RCV as at 2015 - real - Wastewater</v>
      </c>
      <c r="F120" s="675"/>
      <c r="G120" s="676" t="s">
        <v>2</v>
      </c>
      <c r="H120" s="142">
        <f xml:space="preserve"> IF(I120 &lt;&gt; "", I120, J120)</f>
        <v>4451.3332825968509</v>
      </c>
      <c r="I120" s="796">
        <f>IF(InpC!$F$64=0,"",H410)</f>
        <v>4451.3332825968509</v>
      </c>
      <c r="J120" s="47">
        <f>'[1]Waste Real AR'!$N$82</f>
        <v>5321.0894397368047</v>
      </c>
      <c r="K120" s="605"/>
    </row>
    <row r="121" spans="1:11" ht="12.75" customHeight="1">
      <c r="A121" s="22"/>
      <c r="D121" s="596" t="str">
        <f>InpC!$F$26</f>
        <v>PR14</v>
      </c>
      <c r="E121" s="23" t="str">
        <f>'[1]Waste Real AR'!E$83 &amp; " - real - wastewater"</f>
        <v>Depreciation of 2015 RCV - real - wastewater</v>
      </c>
      <c r="F121" s="675"/>
      <c r="G121" s="676" t="s">
        <v>2</v>
      </c>
      <c r="H121" s="142">
        <f xml:space="preserve"> IF(I121 &lt;&gt; "", I121, J121)</f>
        <v>-238.25185120424146</v>
      </c>
      <c r="I121" s="796">
        <f>IF(InpC!$F$64=0,"",H411)</f>
        <v>-238.25185120424146</v>
      </c>
      <c r="J121" s="47">
        <f>'[1]Waste Real AR'!N$83</f>
        <v>-242.10937690824159</v>
      </c>
      <c r="K121" s="109"/>
    </row>
    <row r="122" spans="1:11" ht="12.75" customHeight="1">
      <c r="D122" s="596" t="str">
        <f>InpC!$F$26</f>
        <v>PR14</v>
      </c>
      <c r="E122" s="29" t="str">
        <f>'[1]Input Nominal'!E$176 &amp; " - Wastewater"</f>
        <v>RCV Additions: Average Asset Life (to 1dp) - Wastewater</v>
      </c>
      <c r="F122" s="393"/>
      <c r="G122" s="149" t="s">
        <v>78</v>
      </c>
      <c r="H122" s="142">
        <f xml:space="preserve"> IF(I122 &lt;&gt; "", I122, J122)</f>
        <v>22.91516095975544</v>
      </c>
      <c r="I122" s="796">
        <f>IF(InpC!$F$64=0,"",H412)</f>
        <v>22.91516095975544</v>
      </c>
      <c r="J122" s="393">
        <f>'[1]Input Nominal'!H$176</f>
        <v>29.597033520655987</v>
      </c>
    </row>
    <row r="123" spans="1:11" ht="12.75" customHeight="1">
      <c r="D123" s="596" t="str">
        <f>InpC!$F$26</f>
        <v>PR14</v>
      </c>
      <c r="E123" s="103" t="str">
        <f>'[1]Waste Real AR'!E$89 &amp; " in year additions - real"</f>
        <v>Non-PAYG Totex in year additions - real</v>
      </c>
      <c r="F123" s="677"/>
      <c r="G123" s="677" t="s">
        <v>2</v>
      </c>
      <c r="H123" s="142">
        <f xml:space="preserve"> IF(I123 &lt;&gt; "", I123, J123)</f>
        <v>282.9316553806807</v>
      </c>
      <c r="I123" s="796">
        <f>IF(InpC!$F$64=0,"",H413)</f>
        <v>282.9316553806807</v>
      </c>
      <c r="J123" s="49">
        <f>'[1]Waste Real AR'!N$89</f>
        <v>307.12441016457694</v>
      </c>
    </row>
    <row r="124" spans="1:11" ht="12.75" customHeight="1">
      <c r="D124" s="565"/>
      <c r="E124" s="29"/>
      <c r="F124" s="121"/>
      <c r="G124" s="44"/>
      <c r="H124" s="142"/>
      <c r="J124" s="197"/>
    </row>
    <row r="125" spans="1:11" ht="12.75" customHeight="1">
      <c r="A125" s="22"/>
      <c r="B125" s="22"/>
      <c r="C125" s="226"/>
      <c r="D125" s="596" t="str">
        <f>InpC!$F$26</f>
        <v>PR14</v>
      </c>
      <c r="E125" s="31" t="str">
        <f>'[1]Waste Real AR'!E$93 &amp; " - real"</f>
        <v>Non-PAYG Totex - real</v>
      </c>
      <c r="F125" s="391"/>
      <c r="G125" s="677" t="s">
        <v>2</v>
      </c>
      <c r="H125" s="142">
        <f xml:space="preserve"> IF(I125 &lt;&gt; "", I125, J125)</f>
        <v>457.70564862459349</v>
      </c>
      <c r="I125" s="796">
        <f>IF(InpC!$F$64=0,"",H414)</f>
        <v>457.70564862459349</v>
      </c>
      <c r="J125" s="47">
        <f>'[1]Waste Real AR'!$J$93</f>
        <v>640.71020051895766</v>
      </c>
      <c r="K125" s="311"/>
    </row>
    <row r="126" spans="1:11" ht="12.75" customHeight="1">
      <c r="A126" s="22"/>
      <c r="B126" s="22"/>
      <c r="C126" s="226"/>
      <c r="D126" s="596" t="str">
        <f>InpC!$F$26</f>
        <v>PR14</v>
      </c>
      <c r="E126" s="31" t="str">
        <f>'[1]Waste Real AR'!E$93 &amp; " - real"</f>
        <v>Non-PAYG Totex - real</v>
      </c>
      <c r="F126" s="391"/>
      <c r="G126" s="677" t="s">
        <v>2</v>
      </c>
      <c r="H126" s="142">
        <f xml:space="preserve"> IF(I126 &lt;&gt; "", I126, J126)</f>
        <v>397.17378485831449</v>
      </c>
      <c r="I126" s="796">
        <f>IF(InpC!$F$64=0,"",H415)</f>
        <v>397.17378485831449</v>
      </c>
      <c r="J126" s="47">
        <f>'[1]Waste Real AR'!$K$93</f>
        <v>479.69060448130875</v>
      </c>
      <c r="K126" s="311"/>
    </row>
    <row r="127" spans="1:11" ht="12.75" customHeight="1">
      <c r="A127" s="22"/>
      <c r="B127" s="22"/>
      <c r="C127" s="226"/>
      <c r="D127" s="596" t="str">
        <f>InpC!$F$26</f>
        <v>PR14</v>
      </c>
      <c r="E127" s="31" t="str">
        <f>'[1]Waste Real AR'!E$93 &amp; " - real"</f>
        <v>Non-PAYG Totex - real</v>
      </c>
      <c r="F127" s="391"/>
      <c r="G127" s="677" t="s">
        <v>2</v>
      </c>
      <c r="H127" s="142">
        <f xml:space="preserve"> IF(I127 &lt;&gt; "", I127, J127)</f>
        <v>407.2903803142911</v>
      </c>
      <c r="I127" s="796">
        <f>IF(InpC!$F$64=0,"",H416)</f>
        <v>407.2903803142911</v>
      </c>
      <c r="J127" s="47">
        <f>'[1]Waste Real AR'!$L$93</f>
        <v>464.5575645509079</v>
      </c>
      <c r="K127" s="311"/>
    </row>
    <row r="128" spans="1:11" ht="12.75" customHeight="1">
      <c r="A128" s="22"/>
      <c r="B128" s="22"/>
      <c r="C128" s="226"/>
      <c r="D128" s="737" t="str">
        <f>InpC!$F$26</f>
        <v>PR14</v>
      </c>
      <c r="E128" s="31" t="str">
        <f>'[1]Waste Real AR'!E$93 &amp; " - real"</f>
        <v>Non-PAYG Totex - real</v>
      </c>
      <c r="F128" s="391"/>
      <c r="G128" s="677" t="s">
        <v>2</v>
      </c>
      <c r="H128" s="142">
        <f xml:space="preserve"> IF(I128 &lt;&gt; "", I128, J128)</f>
        <v>336.10246299700549</v>
      </c>
      <c r="I128" s="796">
        <f>IF(InpC!$F$64=0,"",H417)</f>
        <v>336.10246299700549</v>
      </c>
      <c r="J128" s="47">
        <f>'[1]Waste Real AR'!$M$93</f>
        <v>394.33954201081485</v>
      </c>
      <c r="K128" s="311"/>
    </row>
    <row r="129" spans="1:11">
      <c r="D129" s="738" t="str">
        <f>InpC!$F$26</f>
        <v>PR14</v>
      </c>
      <c r="E129" s="739" t="s">
        <v>639</v>
      </c>
      <c r="F129" s="130"/>
      <c r="G129" s="740" t="s">
        <v>2</v>
      </c>
      <c r="H129" s="181">
        <f>SUM(H125:H128)</f>
        <v>1598.2722767942046</v>
      </c>
    </row>
    <row r="130" spans="1:11">
      <c r="D130" s="10"/>
      <c r="E130" s="10"/>
      <c r="F130" s="128"/>
      <c r="G130" s="736"/>
      <c r="H130" s="229"/>
    </row>
    <row r="131" spans="1:11" s="545" customFormat="1" ht="12.75" customHeight="1">
      <c r="A131" s="106"/>
      <c r="B131" s="106"/>
      <c r="C131" s="107" t="s">
        <v>53</v>
      </c>
      <c r="D131" s="165"/>
      <c r="E131" s="109"/>
      <c r="F131" s="108"/>
      <c r="G131" s="108"/>
      <c r="H131" s="142"/>
      <c r="I131" s="108"/>
      <c r="J131" s="109"/>
      <c r="K131" s="109"/>
    </row>
    <row r="132" spans="1:11" s="42" customFormat="1">
      <c r="A132" s="48"/>
      <c r="B132" s="48"/>
      <c r="C132" s="53"/>
      <c r="D132" s="560" t="str">
        <f>InpC!$F$27</f>
        <v>PR19</v>
      </c>
      <c r="E132" s="29" t="str">
        <f>'[2]Water Resources'!E$808</f>
        <v>RCV CPI(H) bf balance BEG - WR - nominal</v>
      </c>
      <c r="F132" s="29">
        <f>'[2]Water Resources'!F$808</f>
        <v>0</v>
      </c>
      <c r="G132" s="44" t="str">
        <f>'[2]Water Resources'!G$808</f>
        <v>£m</v>
      </c>
      <c r="H132" s="142">
        <f t="shared" ref="H132:H137" si="3" xml:space="preserve"> IF(I132 &lt;&gt; "", I132, J132)</f>
        <v>141.66676100153128</v>
      </c>
      <c r="I132" s="707"/>
      <c r="J132" s="47">
        <f>'[2]Water Resources'!P$808</f>
        <v>141.66676100153128</v>
      </c>
      <c r="K132" s="120"/>
    </row>
    <row r="133" spans="1:11" s="42" customFormat="1">
      <c r="A133" s="48"/>
      <c r="B133" s="48"/>
      <c r="C133" s="53"/>
      <c r="D133" s="560" t="str">
        <f>InpC!$F$27</f>
        <v>PR19</v>
      </c>
      <c r="E133" s="29" t="str">
        <f>'[2]Water Resources'!E$809</f>
        <v>Indexation on RCV - CPI(H) bf balance - WR - nominal</v>
      </c>
      <c r="F133" s="29">
        <f>'[2]Water Resources'!F$809</f>
        <v>0</v>
      </c>
      <c r="G133" s="44" t="str">
        <f>'[2]Water Resources'!G$809</f>
        <v>£m</v>
      </c>
      <c r="H133" s="142">
        <f t="shared" si="3"/>
        <v>2.8333352200306599</v>
      </c>
      <c r="I133" s="707"/>
      <c r="J133" s="47">
        <f>'[2]Water Resources'!P$809</f>
        <v>2.8333352200306599</v>
      </c>
      <c r="K133" s="120"/>
    </row>
    <row r="134" spans="1:11" s="42" customFormat="1">
      <c r="A134" s="48"/>
      <c r="B134" s="48"/>
      <c r="C134" s="53"/>
      <c r="D134" s="560" t="str">
        <f>InpC!$F$27</f>
        <v>PR19</v>
      </c>
      <c r="E134" s="29" t="str">
        <f>'[2]Water Resources'!E$810</f>
        <v>RCV - CPI(H) bf depreciation - WR - nominal</v>
      </c>
      <c r="F134" s="29">
        <f>'[2]Water Resources'!F$810</f>
        <v>0</v>
      </c>
      <c r="G134" s="44" t="str">
        <f>'[2]Water Resources'!G$810</f>
        <v>£m</v>
      </c>
      <c r="H134" s="142">
        <f t="shared" si="3"/>
        <v>5.6222754809467599</v>
      </c>
      <c r="I134" s="707"/>
      <c r="J134" s="47">
        <f>'[2]Water Resources'!P$810</f>
        <v>5.6222754809467599</v>
      </c>
      <c r="K134" s="119"/>
    </row>
    <row r="135" spans="1:11" s="42" customFormat="1">
      <c r="A135" s="48"/>
      <c r="B135" s="48"/>
      <c r="C135" s="53"/>
      <c r="D135" s="560" t="str">
        <f>InpC!$F$27</f>
        <v>PR19</v>
      </c>
      <c r="E135" s="29" t="str">
        <f>'[2]Water Resources'!E$957</f>
        <v>RCV CPI(H) + RPI wedge bf balance BEG - WR - nominal</v>
      </c>
      <c r="F135" s="29">
        <f>'[2]Water Resources'!F$957</f>
        <v>0</v>
      </c>
      <c r="G135" s="44" t="str">
        <f>'[2]Water Resources'!G$957</f>
        <v>£m</v>
      </c>
      <c r="H135" s="142">
        <f t="shared" si="3"/>
        <v>147.42637549280946</v>
      </c>
      <c r="I135" s="707"/>
      <c r="J135" s="47">
        <f>'[2]Water Resources'!P$957</f>
        <v>147.42637549280946</v>
      </c>
      <c r="K135" s="120"/>
    </row>
    <row r="136" spans="1:11" s="42" customFormat="1">
      <c r="A136" s="48"/>
      <c r="B136" s="48"/>
      <c r="C136" s="53"/>
      <c r="D136" s="560" t="str">
        <f>InpC!$F$27</f>
        <v>PR19</v>
      </c>
      <c r="E136" s="29" t="str">
        <f>'[2]Water Resources'!E$958</f>
        <v>Indexation on RCV - CPI(H) + RPI wedge bf balance - WR - nominal</v>
      </c>
      <c r="F136" s="29">
        <f>'[2]Water Resources'!F$958</f>
        <v>0</v>
      </c>
      <c r="G136" s="44" t="str">
        <f>'[2]Water Resources'!G$958</f>
        <v>£m</v>
      </c>
      <c r="H136" s="142">
        <f t="shared" si="3"/>
        <v>4.422791264784288</v>
      </c>
      <c r="I136" s="707"/>
      <c r="J136" s="47">
        <f>'[2]Water Resources'!P$958</f>
        <v>4.422791264784288</v>
      </c>
      <c r="K136" s="120"/>
    </row>
    <row r="137" spans="1:11" s="42" customFormat="1">
      <c r="A137" s="48"/>
      <c r="B137" s="48"/>
      <c r="C137" s="53"/>
      <c r="D137" s="560" t="str">
        <f>InpC!$F$27</f>
        <v>PR19</v>
      </c>
      <c r="E137" s="29" t="str">
        <f>'[2]Water Resources'!E$959</f>
        <v>RCV - CPI(H) + RPI wedge bf depreciation - WR - nominal</v>
      </c>
      <c r="F137" s="29">
        <f>'[2]Water Resources'!F$959</f>
        <v>0</v>
      </c>
      <c r="G137" s="44" t="str">
        <f>'[2]Water Resources'!G$959</f>
        <v>£m</v>
      </c>
      <c r="H137" s="142">
        <f t="shared" si="3"/>
        <v>5.9082164606615839</v>
      </c>
      <c r="I137" s="707"/>
      <c r="J137" s="47">
        <f>'[2]Water Resources'!P$959</f>
        <v>5.9082164606615839</v>
      </c>
      <c r="K137" s="120"/>
    </row>
    <row r="138" spans="1:11">
      <c r="D138" s="10"/>
      <c r="E138" s="10"/>
      <c r="F138" s="128"/>
      <c r="G138" s="736"/>
      <c r="H138" s="229"/>
    </row>
    <row r="139" spans="1:11" s="42" customFormat="1">
      <c r="A139" s="48"/>
      <c r="B139" s="48"/>
      <c r="C139" s="53"/>
      <c r="D139" s="560" t="str">
        <f>InpC!$F$27</f>
        <v>PR19</v>
      </c>
      <c r="E139" s="29" t="str">
        <f>'[2]Water Resources'!E$1029 &amp;  " - RCV additions depreciation"</f>
        <v>Post 2020 investment run off rate  - Method used to apply run off rate (straight line or reducing balance) ~ water resources - RCV additions depreciation</v>
      </c>
      <c r="F139" s="29" t="str">
        <f>'[2]Water Resources'!F$1029</f>
        <v>Reducing balance</v>
      </c>
      <c r="G139" s="44" t="str">
        <f>'[2]Water Resources'!G$1029</f>
        <v>switch</v>
      </c>
      <c r="H139" s="750" t="s">
        <v>641</v>
      </c>
      <c r="I139" s="29"/>
      <c r="J139" s="29"/>
      <c r="K139" s="120"/>
    </row>
    <row r="140" spans="1:11" s="545" customFormat="1" ht="12.75" customHeight="1">
      <c r="A140" s="106"/>
      <c r="B140" s="106"/>
      <c r="C140" s="107"/>
      <c r="D140" s="560" t="str">
        <f>InpC!$F$27</f>
        <v>PR19</v>
      </c>
      <c r="E140" s="143" t="str">
        <f>'[2]Water Resources'!E$1019 &amp; " - WR"</f>
        <v>Proportion of capex that is subject to depreciation in year of acquisition - RCV - WR</v>
      </c>
      <c r="F140" s="394"/>
      <c r="G140" s="232" t="str">
        <f>'[2]Water Resources'!G$1019</f>
        <v>%</v>
      </c>
      <c r="H140" s="575">
        <f xml:space="preserve"> IF(I140 &lt;&gt; "", I140, J140)</f>
        <v>0.5</v>
      </c>
      <c r="I140" s="729"/>
      <c r="J140" s="394">
        <f>'[2]Water Resources'!F$1019</f>
        <v>0.5</v>
      </c>
      <c r="K140" s="109"/>
    </row>
    <row r="141" spans="1:11" s="545" customFormat="1" ht="12.75" customHeight="1">
      <c r="A141" s="106"/>
      <c r="B141" s="106"/>
      <c r="C141" s="107"/>
      <c r="D141" s="560" t="str">
        <f>InpC!$F$27</f>
        <v>PR19</v>
      </c>
      <c r="E141" s="112" t="str">
        <f>'[2]Water Resources'!E$1042</f>
        <v>RCV additions balance BEG - WR - nominal</v>
      </c>
      <c r="F141" s="112">
        <f>'[2]Water Resources'!F$1042</f>
        <v>0</v>
      </c>
      <c r="G141" s="183" t="str">
        <f>'[2]Water Resources'!G$1042</f>
        <v>£m</v>
      </c>
      <c r="H141" s="142">
        <f xml:space="preserve"> IF(I141 &lt;&gt; "", I141, J141)</f>
        <v>172.26673404874768</v>
      </c>
      <c r="I141" s="709"/>
      <c r="J141" s="678">
        <f>'[2]Water Resources'!P$1042</f>
        <v>172.26673404874768</v>
      </c>
      <c r="K141" s="109"/>
    </row>
    <row r="142" spans="1:11" s="42" customFormat="1">
      <c r="A142" s="48"/>
      <c r="B142" s="48"/>
      <c r="C142" s="53"/>
      <c r="D142" s="560" t="str">
        <f>InpC!$F$27</f>
        <v>PR19</v>
      </c>
      <c r="E142" s="29" t="str">
        <f>'[2]Water Resources'!E$1014</f>
        <v>Indexation of RCV additions b/f - WR - nominal</v>
      </c>
      <c r="F142" s="29">
        <f>'[2]Water Resources'!F$1014</f>
        <v>0</v>
      </c>
      <c r="G142" s="44" t="str">
        <f>'[2]Water Resources'!G$1014</f>
        <v>£m</v>
      </c>
      <c r="H142" s="142">
        <f xml:space="preserve"> IF(I142 &lt;&gt; "", I142, J142)</f>
        <v>3.445334680974995</v>
      </c>
      <c r="I142" s="709"/>
      <c r="J142" s="679">
        <f>'[2]Water Resources'!P$1014</f>
        <v>3.445334680974995</v>
      </c>
      <c r="K142" s="119"/>
    </row>
    <row r="143" spans="1:11" s="42" customFormat="1">
      <c r="A143" s="48"/>
      <c r="B143" s="48"/>
      <c r="C143" s="53"/>
      <c r="D143" s="560" t="str">
        <f>InpC!$F$27</f>
        <v>PR19</v>
      </c>
      <c r="E143" s="29" t="str">
        <f>'[2]Water Resources'!E$1020</f>
        <v>Water resources: Non-PAYG Totex - nominal</v>
      </c>
      <c r="F143" s="29">
        <f>'[2]Water Resources'!F$1020</f>
        <v>0</v>
      </c>
      <c r="G143" s="44" t="str">
        <f>'[2]Water Resources'!G$1020</f>
        <v>£m</v>
      </c>
      <c r="H143" s="142">
        <f xml:space="preserve"> IF(I143 &lt;&gt; "", I143, J143)</f>
        <v>47.4854922929309</v>
      </c>
      <c r="I143" s="709"/>
      <c r="J143" s="679">
        <f>'[2]Water Resources'!P$1020</f>
        <v>47.4854922929309</v>
      </c>
      <c r="K143" s="119"/>
    </row>
    <row r="144" spans="1:11" s="42" customFormat="1">
      <c r="A144" s="48"/>
      <c r="B144" s="48"/>
      <c r="C144" s="53"/>
      <c r="D144" s="118"/>
      <c r="E144" s="29"/>
      <c r="F144" s="44"/>
      <c r="G144" s="44"/>
      <c r="H144" s="142"/>
      <c r="I144" s="149"/>
      <c r="J144" s="680"/>
      <c r="K144" s="120"/>
    </row>
    <row r="145" spans="1:11" s="42" customFormat="1">
      <c r="A145" s="48"/>
      <c r="B145" s="48"/>
      <c r="C145" s="53"/>
      <c r="D145" s="560" t="str">
        <f>InpC!$F$27</f>
        <v>PR19</v>
      </c>
      <c r="E145" s="29" t="str">
        <f>[2]InpActive!E$268</f>
        <v>Run-off rate - CPI(H) - active - WR</v>
      </c>
      <c r="F145" s="29">
        <f>[2]InpActive!F$268</f>
        <v>0</v>
      </c>
      <c r="G145" s="44" t="str">
        <f>[2]InpActive!G$268</f>
        <v>%</v>
      </c>
      <c r="H145" s="575">
        <f xml:space="preserve"> IF(I145 &lt;&gt; "", I145, J145)</f>
        <v>3.8908454928127709E-2</v>
      </c>
      <c r="I145" s="729"/>
      <c r="J145" s="66">
        <f>[2]InpActive!P$268</f>
        <v>3.8908454928127709E-2</v>
      </c>
      <c r="K145" s="311" t="s">
        <v>355</v>
      </c>
    </row>
    <row r="146" spans="1:11" s="42" customFormat="1">
      <c r="A146" s="48"/>
      <c r="B146" s="48"/>
      <c r="C146" s="53"/>
      <c r="D146" s="560" t="str">
        <f>InpC!$F$27</f>
        <v>PR19</v>
      </c>
      <c r="E146" s="29" t="str">
        <f>[2]InpActive!E$269</f>
        <v>Run-off rate - CPI(H) + RPI wedge - active - WR</v>
      </c>
      <c r="F146" s="29">
        <f>[2]InpActive!F$269</f>
        <v>0</v>
      </c>
      <c r="G146" s="44" t="str">
        <f>[2]InpActive!G$269</f>
        <v>%</v>
      </c>
      <c r="H146" s="575">
        <f xml:space="preserve"> IF(I146 &lt;&gt; "", I146, J146)</f>
        <v>3.8908454928127709E-2</v>
      </c>
      <c r="I146" s="729"/>
      <c r="J146" s="66">
        <f>[2]InpActive!P$269</f>
        <v>3.8908454928127709E-2</v>
      </c>
      <c r="K146" s="311" t="s">
        <v>355</v>
      </c>
    </row>
    <row r="147" spans="1:11" s="42" customFormat="1">
      <c r="A147" s="104"/>
      <c r="B147" s="104"/>
      <c r="C147" s="105"/>
      <c r="D147" s="560" t="str">
        <f>InpC!$F$27</f>
        <v>PR19</v>
      </c>
      <c r="E147" s="29" t="str">
        <f>[2]InpActive!E$270</f>
        <v>Run-off rate - RCV additions - active - WR</v>
      </c>
      <c r="F147" s="29">
        <f>[2]InpActive!F$270</f>
        <v>0</v>
      </c>
      <c r="G147" s="44" t="str">
        <f>[2]InpActive!G$270</f>
        <v>%</v>
      </c>
      <c r="H147" s="575">
        <f xml:space="preserve"> IF(I147 &lt;&gt; "", I147, J147)</f>
        <v>4.4337374717674384E-2</v>
      </c>
      <c r="I147" s="729"/>
      <c r="J147" s="66">
        <f>[2]InpActive!P$270</f>
        <v>4.4337374717674384E-2</v>
      </c>
      <c r="K147" s="311" t="s">
        <v>355</v>
      </c>
    </row>
    <row r="148" spans="1:11" s="42" customFormat="1">
      <c r="A148" s="104"/>
      <c r="B148" s="104"/>
      <c r="C148" s="105"/>
      <c r="D148" s="118"/>
      <c r="E148" s="29"/>
      <c r="F148" s="227"/>
      <c r="G148" s="227"/>
      <c r="H148" s="142"/>
      <c r="I148" s="201"/>
      <c r="J148" s="66"/>
      <c r="K148" s="311"/>
    </row>
    <row r="149" spans="1:11" s="545" customFormat="1" ht="12.75" customHeight="1">
      <c r="A149" s="106"/>
      <c r="B149" s="106"/>
      <c r="C149" s="107" t="s">
        <v>54</v>
      </c>
      <c r="D149" s="165"/>
      <c r="E149" s="109"/>
      <c r="F149" s="108"/>
      <c r="G149" s="108"/>
      <c r="H149" s="142"/>
      <c r="I149" s="108"/>
      <c r="J149" s="109"/>
      <c r="K149" s="109"/>
    </row>
    <row r="150" spans="1:11" s="42" customFormat="1">
      <c r="A150" s="48"/>
      <c r="B150" s="48"/>
      <c r="C150" s="53"/>
      <c r="D150" s="560" t="str">
        <f>InpC!$F$27</f>
        <v>PR19</v>
      </c>
      <c r="E150" s="29" t="str">
        <f>'[2]Water Network'!E$808</f>
        <v>RCV CPI(H) bf balance BEG - WN - nominal</v>
      </c>
      <c r="F150" s="29">
        <f>'[2]Water Network'!F$808</f>
        <v>0</v>
      </c>
      <c r="G150" s="44" t="str">
        <f>'[2]Water Network'!G$808</f>
        <v>£m</v>
      </c>
      <c r="H150" s="142">
        <f t="shared" ref="H150:H155" si="4" xml:space="preserve"> IF(I150 &lt;&gt; "", I150, J150)</f>
        <v>2759.9548919172926</v>
      </c>
      <c r="I150" s="709"/>
      <c r="J150" s="47">
        <f>'[2]Water Network'!P$808</f>
        <v>2759.9548919172926</v>
      </c>
      <c r="K150" s="120"/>
    </row>
    <row r="151" spans="1:11" s="42" customFormat="1">
      <c r="A151" s="48"/>
      <c r="B151" s="48"/>
      <c r="C151" s="53"/>
      <c r="D151" s="560" t="str">
        <f>InpC!$F$27</f>
        <v>PR19</v>
      </c>
      <c r="E151" s="29" t="str">
        <f>'[2]Water Network'!E$809</f>
        <v>Indexation on RCV - CPI(H) bf balance - WN - nominal</v>
      </c>
      <c r="F151" s="29">
        <f>'[2]Water Network'!F$809</f>
        <v>0</v>
      </c>
      <c r="G151" s="44" t="str">
        <f>'[2]Water Network'!G$809</f>
        <v>£m</v>
      </c>
      <c r="H151" s="142">
        <f t="shared" si="4"/>
        <v>55.199097838346511</v>
      </c>
      <c r="I151" s="709"/>
      <c r="J151" s="47">
        <f>'[2]Water Network'!P$809</f>
        <v>55.199097838346511</v>
      </c>
      <c r="K151" s="120"/>
    </row>
    <row r="152" spans="1:11" s="42" customFormat="1">
      <c r="A152" s="48"/>
      <c r="B152" s="48"/>
      <c r="C152" s="53"/>
      <c r="D152" s="560" t="str">
        <f>InpC!$F$27</f>
        <v>PR19</v>
      </c>
      <c r="E152" s="29" t="str">
        <f>'[2]Water Network'!E$810</f>
        <v>RCV - CPI(H) bf depreciation - WN - nominal</v>
      </c>
      <c r="F152" s="29">
        <f>'[2]Water Network'!F$810</f>
        <v>0</v>
      </c>
      <c r="G152" s="44" t="str">
        <f>'[2]Water Network'!G$810</f>
        <v>£m</v>
      </c>
      <c r="H152" s="142">
        <f t="shared" si="4"/>
        <v>122.41558383985145</v>
      </c>
      <c r="I152" s="709"/>
      <c r="J152" s="47">
        <f>'[2]Water Network'!P$810</f>
        <v>122.41558383985145</v>
      </c>
      <c r="K152" s="119"/>
    </row>
    <row r="153" spans="1:11" s="42" customFormat="1">
      <c r="A153" s="48"/>
      <c r="B153" s="48"/>
      <c r="C153" s="53"/>
      <c r="D153" s="560" t="str">
        <f>InpC!$F$27</f>
        <v>PR19</v>
      </c>
      <c r="E153" s="29" t="str">
        <f>'[2]Water Network'!E$957</f>
        <v>RCV CPI(H) + RPI wedge bf balance BEG - WN - nominal</v>
      </c>
      <c r="F153" s="29">
        <f>'[2]Water Network'!F$957</f>
        <v>0</v>
      </c>
      <c r="G153" s="44" t="str">
        <f>'[2]Water Network'!G$957</f>
        <v>£m</v>
      </c>
      <c r="H153" s="142">
        <f t="shared" si="4"/>
        <v>2939.5228049682587</v>
      </c>
      <c r="I153" s="709"/>
      <c r="J153" s="47">
        <f>'[2]Water Network'!P$957</f>
        <v>2939.5228049682587</v>
      </c>
      <c r="K153" s="120"/>
    </row>
    <row r="154" spans="1:11" s="42" customFormat="1">
      <c r="A154" s="48"/>
      <c r="B154" s="48"/>
      <c r="C154" s="53"/>
      <c r="D154" s="560" t="str">
        <f>InpC!$F$27</f>
        <v>PR19</v>
      </c>
      <c r="E154" s="29" t="str">
        <f>'[2]Water Network'!E$958</f>
        <v>Indexation on RCV - CPI(H) + RPI wedge bf balance - WN - nominal</v>
      </c>
      <c r="F154" s="29">
        <f>'[2]Water Network'!F$958</f>
        <v>0</v>
      </c>
      <c r="G154" s="44" t="str">
        <f>'[2]Water Network'!G$958</f>
        <v>£m</v>
      </c>
      <c r="H154" s="142">
        <f t="shared" si="4"/>
        <v>88.185684149047844</v>
      </c>
      <c r="I154" s="709"/>
      <c r="J154" s="47">
        <f>'[2]Water Network'!P$958</f>
        <v>88.185684149047844</v>
      </c>
      <c r="K154" s="120"/>
    </row>
    <row r="155" spans="1:11" s="42" customFormat="1">
      <c r="A155" s="48"/>
      <c r="B155" s="48"/>
      <c r="C155" s="53"/>
      <c r="D155" s="560" t="str">
        <f>InpC!$F$27</f>
        <v>PR19</v>
      </c>
      <c r="E155" s="29" t="str">
        <f>'[2]Water Network'!E$959</f>
        <v>RCV - CPI(H) + RPI wedge bf depreciation - WN - nominal</v>
      </c>
      <c r="F155" s="29">
        <f>'[2]Water Network'!F$959</f>
        <v>0</v>
      </c>
      <c r="G155" s="44" t="str">
        <f>'[2]Water Network'!G$959</f>
        <v>£m</v>
      </c>
      <c r="H155" s="142">
        <f t="shared" si="4"/>
        <v>136.58678924143979</v>
      </c>
      <c r="I155" s="709"/>
      <c r="J155" s="47">
        <f>'[2]Water Network'!P$959</f>
        <v>136.58678924143979</v>
      </c>
      <c r="K155" s="119"/>
    </row>
    <row r="156" spans="1:11" s="120" customFormat="1" ht="12.75" customHeight="1">
      <c r="A156" s="11"/>
      <c r="B156" s="11"/>
      <c r="C156" s="12"/>
      <c r="D156" s="118"/>
      <c r="E156" s="10"/>
      <c r="F156" s="128"/>
      <c r="G156" s="736"/>
      <c r="H156" s="142"/>
      <c r="I156" s="149"/>
      <c r="J156" s="14"/>
    </row>
    <row r="157" spans="1:11" s="42" customFormat="1">
      <c r="A157" s="48"/>
      <c r="B157" s="48"/>
      <c r="C157" s="53"/>
      <c r="D157" s="560" t="str">
        <f>InpC!$F$27</f>
        <v>PR19</v>
      </c>
      <c r="E157" s="29" t="str">
        <f>'[2]Water Network'!E$1029 &amp;  " - RCV additions depreciation"</f>
        <v>RCV run off rate ~ CPI/CPI(H) linked RCV - Method used to apply run off rate (straight line or reducing balance) ~ water network plus CPI(H) linked - RCV additions depreciation</v>
      </c>
      <c r="F157" s="29" t="str">
        <f>'[2]Water Network'!F$1029</f>
        <v>Reducing balance</v>
      </c>
      <c r="G157" s="44" t="str">
        <f>'[2]Water Network'!G$1029</f>
        <v>switch</v>
      </c>
      <c r="H157" s="750" t="s">
        <v>641</v>
      </c>
      <c r="I157" s="29"/>
      <c r="J157" s="29"/>
      <c r="K157" s="120"/>
    </row>
    <row r="158" spans="1:11" s="545" customFormat="1" ht="12.75" customHeight="1">
      <c r="A158" s="106"/>
      <c r="B158" s="106"/>
      <c r="C158" s="107"/>
      <c r="D158" s="560" t="str">
        <f>InpC!$F$27</f>
        <v>PR19</v>
      </c>
      <c r="E158" s="143" t="str">
        <f>'[2]Water Network'!E$1019 &amp; " - WN"</f>
        <v>Proportion of capex that is subject to depreciation in year of acquisition - RCV - WN</v>
      </c>
      <c r="F158" s="394"/>
      <c r="G158" s="232" t="str">
        <f>'[2]Water Network'!G$1019</f>
        <v>%</v>
      </c>
      <c r="H158" s="575">
        <f xml:space="preserve"> IF(I158 &lt;&gt; "", I158, J158)</f>
        <v>0.5</v>
      </c>
      <c r="I158" s="729"/>
      <c r="J158" s="394">
        <f>'[2]Water Network'!F$1019</f>
        <v>0.5</v>
      </c>
      <c r="K158" s="109"/>
    </row>
    <row r="159" spans="1:11" s="545" customFormat="1" ht="12.75" customHeight="1">
      <c r="A159" s="106"/>
      <c r="B159" s="106"/>
      <c r="C159" s="107"/>
      <c r="D159" s="560" t="str">
        <f>InpC!$F$27</f>
        <v>PR19</v>
      </c>
      <c r="E159" s="112" t="str">
        <f>'[2]Water Network'!E$1042</f>
        <v>RCV additions balance BEG - WN - nominal</v>
      </c>
      <c r="F159" s="112">
        <f>'[2]Water Network'!F$1042</f>
        <v>0</v>
      </c>
      <c r="G159" s="183" t="str">
        <f>'[2]Water Network'!G$1042</f>
        <v>£m</v>
      </c>
      <c r="H159" s="142">
        <f xml:space="preserve"> IF(I159 &lt;&gt; "", I159, J159)</f>
        <v>2307.407006641924</v>
      </c>
      <c r="I159" s="709"/>
      <c r="J159" s="678">
        <f>'[2]Water Network'!P$1042</f>
        <v>2307.407006641924</v>
      </c>
      <c r="K159" s="109"/>
    </row>
    <row r="160" spans="1:11" s="545" customFormat="1" ht="12.75" customHeight="1">
      <c r="A160" s="106"/>
      <c r="B160" s="106"/>
      <c r="C160" s="107"/>
      <c r="D160" s="560" t="str">
        <f>InpC!$F$27</f>
        <v>PR19</v>
      </c>
      <c r="E160" s="29" t="str">
        <f>'[2]Water Network'!E$1014</f>
        <v>Indexation of RCV additions b/f - WN - nominal</v>
      </c>
      <c r="F160" s="29">
        <f>'[2]Water Network'!F$1014</f>
        <v>0</v>
      </c>
      <c r="G160" s="44" t="str">
        <f>'[2]Water Network'!G$1014</f>
        <v>£m</v>
      </c>
      <c r="H160" s="142">
        <f xml:space="preserve"> IF(I160 &lt;&gt; "", I160, J160)</f>
        <v>46.148140132839032</v>
      </c>
      <c r="I160" s="709"/>
      <c r="J160" s="679">
        <f>'[2]Water Network'!P$1014</f>
        <v>46.148140132839032</v>
      </c>
      <c r="K160" s="119"/>
    </row>
    <row r="161" spans="1:11" s="545" customFormat="1" ht="12.75" customHeight="1">
      <c r="A161" s="106"/>
      <c r="B161" s="106"/>
      <c r="C161" s="107"/>
      <c r="D161" s="560" t="str">
        <f>InpC!$F$27</f>
        <v>PR19</v>
      </c>
      <c r="E161" s="29" t="str">
        <f>'[2]Water Network'!E$1020</f>
        <v>Water network: Non-PAYG Totex - nominal</v>
      </c>
      <c r="F161" s="29">
        <f>'[2]Water Network'!F$1020</f>
        <v>0</v>
      </c>
      <c r="G161" s="44" t="str">
        <f>'[2]Water Network'!G$1020</f>
        <v>£m</v>
      </c>
      <c r="H161" s="142">
        <f xml:space="preserve"> IF(I161 &lt;&gt; "", I161, J161)</f>
        <v>602.30021400200656</v>
      </c>
      <c r="I161" s="709"/>
      <c r="J161" s="679">
        <f>'[2]Water Network'!P$1020</f>
        <v>602.30021400200656</v>
      </c>
      <c r="K161" s="109"/>
    </row>
    <row r="162" spans="1:11" s="120" customFormat="1" ht="12.75" customHeight="1">
      <c r="A162" s="11"/>
      <c r="B162" s="11"/>
      <c r="C162" s="12"/>
      <c r="D162" s="118"/>
      <c r="E162" s="29"/>
      <c r="F162" s="44"/>
      <c r="G162" s="44"/>
      <c r="H162" s="142"/>
      <c r="I162" s="149"/>
      <c r="J162" s="680"/>
    </row>
    <row r="163" spans="1:11" s="42" customFormat="1">
      <c r="A163" s="48"/>
      <c r="B163" s="48"/>
      <c r="C163" s="53"/>
      <c r="D163" s="560" t="str">
        <f>InpC!$F$27</f>
        <v>PR19</v>
      </c>
      <c r="E163" s="29" t="str">
        <f>[2]InpActive!E$472</f>
        <v>Run-off rate - CPI(H) - active - WN</v>
      </c>
      <c r="F163" s="29">
        <f>[2]InpActive!F$472</f>
        <v>0</v>
      </c>
      <c r="G163" s="44" t="str">
        <f>[2]InpActive!G$472</f>
        <v>%</v>
      </c>
      <c r="H163" s="575">
        <f xml:space="preserve"> IF(I163 &lt;&gt; "", I163, J163)</f>
        <v>4.3484507165619517E-2</v>
      </c>
      <c r="I163" s="729"/>
      <c r="J163" s="66">
        <f>[2]InpActive!P$472</f>
        <v>4.3484507165619517E-2</v>
      </c>
      <c r="K163" s="119"/>
    </row>
    <row r="164" spans="1:11" s="42" customFormat="1">
      <c r="A164" s="48"/>
      <c r="B164" s="48"/>
      <c r="C164" s="53"/>
      <c r="D164" s="560" t="str">
        <f>InpC!$F$27</f>
        <v>PR19</v>
      </c>
      <c r="E164" s="29" t="str">
        <f>[2]InpActive!E$473</f>
        <v>Run-off rate - CPI(H) + RPI wedge - active - WN</v>
      </c>
      <c r="F164" s="29">
        <f>[2]InpActive!F$473</f>
        <v>0</v>
      </c>
      <c r="G164" s="44" t="str">
        <f>[2]InpActive!G$473</f>
        <v>%</v>
      </c>
      <c r="H164" s="575">
        <f xml:space="preserve"> IF(I164 &lt;&gt; "", I164, J164)</f>
        <v>4.51122655078528E-2</v>
      </c>
      <c r="I164" s="729"/>
      <c r="J164" s="66">
        <f>[2]InpActive!P$473</f>
        <v>4.51122655078528E-2</v>
      </c>
      <c r="K164" s="119"/>
    </row>
    <row r="165" spans="1:11" s="42" customFormat="1">
      <c r="A165" s="104"/>
      <c r="B165" s="104"/>
      <c r="C165" s="105"/>
      <c r="D165" s="560" t="str">
        <f>InpC!$F$27</f>
        <v>PR19</v>
      </c>
      <c r="E165" s="29" t="str">
        <f>[2]InpActive!E$474</f>
        <v>Run-off rate - RCV additions - active - WN</v>
      </c>
      <c r="F165" s="29">
        <f>[2]InpActive!F$474</f>
        <v>0</v>
      </c>
      <c r="G165" s="44" t="str">
        <f>[2]InpActive!G$474</f>
        <v>%</v>
      </c>
      <c r="H165" s="575">
        <f xml:space="preserve"> IF(I165 &lt;&gt; "", I165, J165)</f>
        <v>4.3484507165619517E-2</v>
      </c>
      <c r="I165" s="729"/>
      <c r="J165" s="66">
        <f>[2]InpActive!P$474</f>
        <v>4.3484507165619517E-2</v>
      </c>
      <c r="K165" s="311"/>
    </row>
    <row r="166" spans="1:11" s="42" customFormat="1">
      <c r="A166" s="104"/>
      <c r="B166" s="104"/>
      <c r="C166" s="105"/>
      <c r="D166" s="118"/>
      <c r="E166" s="29"/>
      <c r="F166" s="227"/>
      <c r="G166" s="227"/>
      <c r="H166" s="142"/>
      <c r="I166" s="201"/>
      <c r="J166" s="66"/>
      <c r="K166" s="311"/>
    </row>
    <row r="167" spans="1:11" s="545" customFormat="1" ht="12.75" customHeight="1">
      <c r="A167" s="106"/>
      <c r="B167" s="106"/>
      <c r="C167" s="107" t="s">
        <v>55</v>
      </c>
      <c r="D167" s="165"/>
      <c r="E167" s="109"/>
      <c r="F167" s="108"/>
      <c r="G167" s="108"/>
      <c r="H167" s="142"/>
      <c r="I167" s="108"/>
      <c r="J167" s="109"/>
      <c r="K167" s="109"/>
    </row>
    <row r="168" spans="1:11">
      <c r="D168" s="560" t="str">
        <f>InpC!$F$27</f>
        <v>PR19</v>
      </c>
      <c r="E168" s="29" t="str">
        <f>'[2]Wastewater Network'!E$808</f>
        <v>RCV CPI(H) bf balance BEG - WWN - nominal</v>
      </c>
      <c r="F168" s="29">
        <f>'[2]Wastewater Network'!F$808</f>
        <v>0</v>
      </c>
      <c r="G168" s="44" t="str">
        <f>'[2]Wastewater Network'!G$808</f>
        <v>£m</v>
      </c>
      <c r="H168" s="142">
        <f t="shared" ref="H168:H173" si="5" xml:space="preserve"> IF(I168 &lt;&gt; "", I168, J168)</f>
        <v>2270.9554349450482</v>
      </c>
      <c r="I168" s="709"/>
      <c r="J168" s="47">
        <f>'[2]Wastewater Network'!P$808</f>
        <v>2270.9554349450482</v>
      </c>
      <c r="K168" s="142"/>
    </row>
    <row r="169" spans="1:11">
      <c r="D169" s="560" t="str">
        <f>InpC!$F$27</f>
        <v>PR19</v>
      </c>
      <c r="E169" s="29" t="str">
        <f>'[2]Wastewater Network'!E$809</f>
        <v>Indexation on RCV - CPI(H) bf balance - WWN - nominal</v>
      </c>
      <c r="F169" s="29">
        <f>'[2]Wastewater Network'!F$809</f>
        <v>0</v>
      </c>
      <c r="G169" s="44" t="str">
        <f>'[2]Wastewater Network'!G$809</f>
        <v>£m</v>
      </c>
      <c r="H169" s="142">
        <f t="shared" si="5"/>
        <v>45.41910869890151</v>
      </c>
      <c r="I169" s="709"/>
      <c r="J169" s="47">
        <f>'[2]Wastewater Network'!P$809</f>
        <v>45.41910869890151</v>
      </c>
      <c r="K169" s="142"/>
    </row>
    <row r="170" spans="1:11">
      <c r="D170" s="560" t="str">
        <f>InpC!$F$27</f>
        <v>PR19</v>
      </c>
      <c r="E170" s="29" t="str">
        <f>'[2]Wastewater Network'!E$810</f>
        <v>RCV - CPI(H) bf depreciation - WWN - nominal</v>
      </c>
      <c r="F170" s="29">
        <f>'[2]Wastewater Network'!F$810</f>
        <v>0</v>
      </c>
      <c r="G170" s="44" t="str">
        <f>'[2]Wastewater Network'!G$810</f>
        <v>£m</v>
      </c>
      <c r="H170" s="142">
        <f t="shared" si="5"/>
        <v>123.24868694881808</v>
      </c>
      <c r="I170" s="709"/>
      <c r="J170" s="47">
        <f>'[2]Wastewater Network'!P$810</f>
        <v>123.24868694881808</v>
      </c>
      <c r="K170" s="142"/>
    </row>
    <row r="171" spans="1:11">
      <c r="D171" s="560" t="str">
        <f>InpC!$F$27</f>
        <v>PR19</v>
      </c>
      <c r="E171" s="29" t="str">
        <f>'[2]Wastewater Network'!E$957</f>
        <v>RCV CPI(H) + RPI wedge bf balance BEG - WWN - nominal</v>
      </c>
      <c r="F171" s="29">
        <f>'[2]Wastewater Network'!F$957</f>
        <v>0</v>
      </c>
      <c r="G171" s="44" t="str">
        <f>'[2]Wastewater Network'!G$957</f>
        <v>£m</v>
      </c>
      <c r="H171" s="142">
        <f t="shared" si="5"/>
        <v>2379.7148043291063</v>
      </c>
      <c r="I171" s="709"/>
      <c r="J171" s="47">
        <f>'[2]Wastewater Network'!P$957</f>
        <v>2379.7148043291063</v>
      </c>
      <c r="K171" s="142"/>
    </row>
    <row r="172" spans="1:11">
      <c r="D172" s="560" t="str">
        <f>InpC!$F$27</f>
        <v>PR19</v>
      </c>
      <c r="E172" s="29" t="str">
        <f>'[2]Wastewater Network'!E$958</f>
        <v>Indexation on RCV - CPI(H) + RPI wedge bf balance - WWN - nominal</v>
      </c>
      <c r="F172" s="29">
        <f>'[2]Wastewater Network'!F$958</f>
        <v>0</v>
      </c>
      <c r="G172" s="44" t="str">
        <f>'[2]Wastewater Network'!G$958</f>
        <v>£m</v>
      </c>
      <c r="H172" s="142">
        <f t="shared" si="5"/>
        <v>71.39144412987325</v>
      </c>
      <c r="I172" s="709"/>
      <c r="J172" s="47">
        <f>'[2]Wastewater Network'!P$958</f>
        <v>71.39144412987325</v>
      </c>
      <c r="K172" s="142"/>
    </row>
    <row r="173" spans="1:11">
      <c r="D173" s="560" t="str">
        <f>InpC!$F$27</f>
        <v>PR19</v>
      </c>
      <c r="E173" s="29" t="str">
        <f>'[2]Wastewater Network'!E$959</f>
        <v>RCV - CPI(H) + RPI wedge bf depreciation - WWN - nominal</v>
      </c>
      <c r="F173" s="29">
        <f>'[2]Wastewater Network'!F$959</f>
        <v>0</v>
      </c>
      <c r="G173" s="44" t="str">
        <f>'[2]Wastewater Network'!G$959</f>
        <v>£m</v>
      </c>
      <c r="H173" s="142">
        <f t="shared" si="5"/>
        <v>126.81014271560726</v>
      </c>
      <c r="I173" s="709"/>
      <c r="J173" s="47">
        <f>'[2]Wastewater Network'!P$959</f>
        <v>126.81014271560726</v>
      </c>
      <c r="K173" s="142"/>
    </row>
    <row r="174" spans="1:11" s="42" customFormat="1">
      <c r="A174" s="48"/>
      <c r="B174" s="48"/>
      <c r="C174" s="53"/>
      <c r="D174" s="29"/>
      <c r="E174" s="10"/>
      <c r="F174" s="128"/>
      <c r="G174" s="736"/>
      <c r="H174" s="142"/>
      <c r="I174" s="149"/>
      <c r="J174" s="14"/>
      <c r="K174" s="142"/>
    </row>
    <row r="175" spans="1:11" s="42" customFormat="1">
      <c r="A175" s="48"/>
      <c r="B175" s="48"/>
      <c r="C175" s="53"/>
      <c r="D175" s="560" t="str">
        <f>InpC!$F$27</f>
        <v>PR19</v>
      </c>
      <c r="E175" s="29" t="str">
        <f>'[2]Wastewater Network'!E$1029 &amp;  " - RCV additions depreciation"</f>
        <v>RCV run off rate  ~ CPI/CPI(H) linked RCV - Method used to apply run off rate (straight line or reducing balance) ~ wastewater network plus CPI(H) linked - RCV additions depreciation</v>
      </c>
      <c r="F175" s="29" t="str">
        <f>'[2]Wastewater Network'!F$1029</f>
        <v>Reducing balance</v>
      </c>
      <c r="G175" s="44" t="str">
        <f>'[2]Wastewater Network'!G$1029</f>
        <v>switch</v>
      </c>
      <c r="H175" s="750" t="s">
        <v>641</v>
      </c>
      <c r="I175" s="29"/>
      <c r="J175" s="29"/>
      <c r="K175" s="120"/>
    </row>
    <row r="176" spans="1:11" s="545" customFormat="1" ht="12.75" customHeight="1">
      <c r="A176" s="106"/>
      <c r="B176" s="106"/>
      <c r="C176" s="107"/>
      <c r="D176" s="560" t="str">
        <f>InpC!$F$27</f>
        <v>PR19</v>
      </c>
      <c r="E176" s="143" t="str">
        <f>'[2]Wastewater Network'!E$1019 &amp; " - WWN"</f>
        <v>Proportion of capex that is subject to depreciation in year of acquisition - RCV - WWN</v>
      </c>
      <c r="F176" s="394"/>
      <c r="G176" s="232" t="str">
        <f>'[2]Wastewater Network'!G$1019</f>
        <v>%</v>
      </c>
      <c r="H176" s="575">
        <f xml:space="preserve"> IF(I176 &lt;&gt; "", I176, J176)</f>
        <v>0.5</v>
      </c>
      <c r="I176" s="729"/>
      <c r="J176" s="394">
        <f>'[2]Wastewater Network'!F$1019</f>
        <v>0.5</v>
      </c>
      <c r="K176" s="109"/>
    </row>
    <row r="177" spans="1:11" s="545" customFormat="1" ht="12.75" customHeight="1">
      <c r="A177" s="106"/>
      <c r="B177" s="106"/>
      <c r="C177" s="107"/>
      <c r="D177" s="560" t="str">
        <f>InpC!$F$27</f>
        <v>PR19</v>
      </c>
      <c r="E177" s="112" t="str">
        <f>'[2]Wastewater Network'!E$1042</f>
        <v>RCV additions balance BEG - WWN - nominal</v>
      </c>
      <c r="F177" s="112">
        <f>'[2]Wastewater Network'!F$1042</f>
        <v>0</v>
      </c>
      <c r="G177" s="183" t="str">
        <f>'[2]Wastewater Network'!G$1042</f>
        <v>£m</v>
      </c>
      <c r="H177" s="142">
        <f xml:space="preserve"> IF(I177 &lt;&gt; "", I177, J177)</f>
        <v>1995.0656438448354</v>
      </c>
      <c r="I177" s="709"/>
      <c r="J177" s="678">
        <f>'[2]Wastewater Network'!P$1042</f>
        <v>1995.0656438448354</v>
      </c>
      <c r="K177" s="109"/>
    </row>
    <row r="178" spans="1:11" s="545" customFormat="1" ht="12.75" customHeight="1">
      <c r="A178" s="106"/>
      <c r="B178" s="106"/>
      <c r="C178" s="107"/>
      <c r="D178" s="560" t="str">
        <f>InpC!$F$27</f>
        <v>PR19</v>
      </c>
      <c r="E178" s="29" t="str">
        <f>'[2]Wastewater Network'!E$1014</f>
        <v>Indexation of RCV additions b/f - WWN - nominal</v>
      </c>
      <c r="F178" s="29">
        <f>'[2]Wastewater Network'!F$1014</f>
        <v>0</v>
      </c>
      <c r="G178" s="44" t="str">
        <f>'[2]Wastewater Network'!G$1014</f>
        <v>£m</v>
      </c>
      <c r="H178" s="142">
        <f xml:space="preserve"> IF(I178 &lt;&gt; "", I178, J178)</f>
        <v>39.901312876897187</v>
      </c>
      <c r="I178" s="709"/>
      <c r="J178" s="679">
        <f>'[2]Wastewater Network'!P$1014</f>
        <v>39.901312876897187</v>
      </c>
      <c r="K178" s="142"/>
    </row>
    <row r="179" spans="1:11" s="545" customFormat="1" ht="12.75" customHeight="1">
      <c r="A179" s="106"/>
      <c r="B179" s="106"/>
      <c r="C179" s="107"/>
      <c r="D179" s="560" t="str">
        <f>InpC!$F$27</f>
        <v>PR19</v>
      </c>
      <c r="E179" s="29" t="str">
        <f>'[2]Wastewater Network'!E$1020</f>
        <v>Wastewater network: Non-PAYG Totex - nominal</v>
      </c>
      <c r="F179" s="29">
        <f>'[2]Wastewater Network'!F$1020</f>
        <v>0</v>
      </c>
      <c r="G179" s="44" t="str">
        <f>'[2]Wastewater Network'!G$1020</f>
        <v>£m</v>
      </c>
      <c r="H179" s="142">
        <f xml:space="preserve"> IF(I179 &lt;&gt; "", I179, J179)</f>
        <v>504.23073766607791</v>
      </c>
      <c r="I179" s="709"/>
      <c r="J179" s="679">
        <f>'[2]Wastewater Network'!P$1020</f>
        <v>504.23073766607791</v>
      </c>
      <c r="K179" s="142"/>
    </row>
    <row r="180" spans="1:11" s="545" customFormat="1" ht="12.75" customHeight="1">
      <c r="A180" s="106"/>
      <c r="B180" s="106"/>
      <c r="C180" s="107"/>
      <c r="D180" s="109"/>
      <c r="E180" s="29"/>
      <c r="F180" s="44"/>
      <c r="G180" s="44"/>
      <c r="H180" s="142"/>
      <c r="I180" s="149"/>
      <c r="J180" s="680"/>
      <c r="K180" s="109"/>
    </row>
    <row r="181" spans="1:11" s="42" customFormat="1">
      <c r="A181" s="48"/>
      <c r="B181" s="48"/>
      <c r="C181" s="53"/>
      <c r="D181" s="560" t="str">
        <f>InpC!$F$27</f>
        <v>PR19</v>
      </c>
      <c r="E181" s="29" t="str">
        <f>[2]InpActive!E$675</f>
        <v>Run-off rate - CPI(H) - active - WWN</v>
      </c>
      <c r="F181" s="29">
        <f>[2]InpActive!F$675</f>
        <v>0</v>
      </c>
      <c r="G181" s="44" t="str">
        <f>[2]InpActive!G$675</f>
        <v>%</v>
      </c>
      <c r="H181" s="575">
        <f xml:space="preserve"> IF(I181 &lt;&gt; "", I181, J181)</f>
        <v>5.3207581341717006E-2</v>
      </c>
      <c r="I181" s="729"/>
      <c r="J181" s="66">
        <f>[2]InpActive!P$675</f>
        <v>5.3207581341717006E-2</v>
      </c>
      <c r="K181" s="119"/>
    </row>
    <row r="182" spans="1:11" s="42" customFormat="1">
      <c r="A182" s="48"/>
      <c r="B182" s="48"/>
      <c r="C182" s="53"/>
      <c r="D182" s="560" t="str">
        <f>InpC!$F$27</f>
        <v>PR19</v>
      </c>
      <c r="E182" s="29" t="str">
        <f>[2]InpActive!E$676</f>
        <v>Run-off rate - CPI(H) + RPI wedge - active - WWN</v>
      </c>
      <c r="F182" s="29">
        <f>[2]InpActive!F$676</f>
        <v>0</v>
      </c>
      <c r="G182" s="44" t="str">
        <f>[2]InpActive!G$676</f>
        <v>%</v>
      </c>
      <c r="H182" s="575">
        <f xml:space="preserve"> IF(I182 &lt;&gt; "", I182, J182)</f>
        <v>5.1735881622974648E-2</v>
      </c>
      <c r="I182" s="729"/>
      <c r="J182" s="66">
        <f>[2]InpActive!P$676</f>
        <v>5.1735881622974648E-2</v>
      </c>
      <c r="K182" s="119"/>
    </row>
    <row r="183" spans="1:11" s="42" customFormat="1">
      <c r="A183" s="104"/>
      <c r="B183" s="104"/>
      <c r="C183" s="105"/>
      <c r="D183" s="560" t="str">
        <f>InpC!$F$27</f>
        <v>PR19</v>
      </c>
      <c r="E183" s="29" t="str">
        <f>[2]InpActive!E$677</f>
        <v>Run-off rate - RCV additions - active - WWN</v>
      </c>
      <c r="F183" s="29">
        <f>[2]InpActive!F$677</f>
        <v>0</v>
      </c>
      <c r="G183" s="44" t="str">
        <f>[2]InpActive!G$677</f>
        <v>%</v>
      </c>
      <c r="H183" s="575">
        <f xml:space="preserve"> IF(I183 &lt;&gt; "", I183, J183)</f>
        <v>5.3207581341717006E-2</v>
      </c>
      <c r="I183" s="729"/>
      <c r="J183" s="66">
        <f>[2]InpActive!P$677</f>
        <v>5.3207581341717006E-2</v>
      </c>
      <c r="K183" s="311"/>
    </row>
    <row r="184" spans="1:11" s="42" customFormat="1">
      <c r="A184" s="104"/>
      <c r="B184" s="104"/>
      <c r="C184" s="105"/>
      <c r="D184" s="29"/>
      <c r="E184" s="29"/>
      <c r="F184" s="227"/>
      <c r="G184" s="227"/>
      <c r="H184" s="142"/>
      <c r="I184" s="201"/>
      <c r="J184" s="66"/>
      <c r="K184" s="311"/>
    </row>
    <row r="185" spans="1:11" s="545" customFormat="1" ht="12.75" customHeight="1">
      <c r="A185" s="106"/>
      <c r="B185" s="106"/>
      <c r="C185" s="107" t="s">
        <v>56</v>
      </c>
      <c r="D185" s="165"/>
      <c r="E185" s="109"/>
      <c r="F185" s="108"/>
      <c r="G185" s="108"/>
      <c r="H185" s="142"/>
      <c r="I185" s="108"/>
      <c r="J185" s="109"/>
      <c r="K185" s="109"/>
    </row>
    <row r="186" spans="1:11" s="545" customFormat="1" ht="12.75" customHeight="1">
      <c r="A186" s="106"/>
      <c r="B186" s="106"/>
      <c r="C186" s="107"/>
      <c r="D186" s="560" t="str">
        <f>InpC!$F$27</f>
        <v>PR19</v>
      </c>
      <c r="E186" s="29" t="str">
        <f>'[2]Bio Resources'!E$808</f>
        <v>RCV CPI(H) bf balance BEG - BR - nominal</v>
      </c>
      <c r="F186" s="29">
        <f>'[2]Bio Resources'!F$808</f>
        <v>0</v>
      </c>
      <c r="G186" s="44" t="str">
        <f>'[2]Bio Resources'!G$808</f>
        <v>£m</v>
      </c>
      <c r="H186" s="142">
        <f t="shared" ref="H186:H191" si="6" xml:space="preserve"> IF(I186 &lt;&gt; "", I186, J186)</f>
        <v>706.62296652750103</v>
      </c>
      <c r="I186" s="709"/>
      <c r="J186" s="47">
        <f>'[2]Bio Resources'!P$808</f>
        <v>706.62296652750103</v>
      </c>
      <c r="K186" s="142"/>
    </row>
    <row r="187" spans="1:11" s="545" customFormat="1" ht="12.75" customHeight="1">
      <c r="A187" s="106"/>
      <c r="B187" s="106"/>
      <c r="C187" s="107"/>
      <c r="D187" s="560" t="str">
        <f>InpC!$F$27</f>
        <v>PR19</v>
      </c>
      <c r="E187" s="29" t="str">
        <f>'[2]Bio Resources'!E$809</f>
        <v>Indexation on RCV - CPI(H) bf balance - BR - nominal</v>
      </c>
      <c r="F187" s="29">
        <f>'[2]Bio Resources'!F$809</f>
        <v>0</v>
      </c>
      <c r="G187" s="44" t="str">
        <f>'[2]Bio Resources'!G$809</f>
        <v>£m</v>
      </c>
      <c r="H187" s="142">
        <f t="shared" si="6"/>
        <v>14.132459330550191</v>
      </c>
      <c r="I187" s="709"/>
      <c r="J187" s="47">
        <f>'[2]Bio Resources'!P$809</f>
        <v>14.132459330550191</v>
      </c>
      <c r="K187" s="142"/>
    </row>
    <row r="188" spans="1:11" s="545" customFormat="1" ht="12.75" customHeight="1">
      <c r="A188" s="106"/>
      <c r="B188" s="106"/>
      <c r="C188" s="107"/>
      <c r="D188" s="560" t="str">
        <f>InpC!$F$27</f>
        <v>PR19</v>
      </c>
      <c r="E188" s="29" t="str">
        <f>'[2]Bio Resources'!E$810</f>
        <v>RCV - CPI(H) bf depreciation - BR - nominal</v>
      </c>
      <c r="F188" s="29">
        <f>'[2]Bio Resources'!F$810</f>
        <v>0</v>
      </c>
      <c r="G188" s="44" t="str">
        <f>'[2]Bio Resources'!G$810</f>
        <v>£m</v>
      </c>
      <c r="H188" s="142">
        <f t="shared" si="6"/>
        <v>37.214064020884216</v>
      </c>
      <c r="I188" s="709"/>
      <c r="J188" s="47">
        <f>'[2]Bio Resources'!P$810</f>
        <v>37.214064020884216</v>
      </c>
      <c r="K188" s="142"/>
    </row>
    <row r="189" spans="1:11" s="42" customFormat="1">
      <c r="A189" s="48"/>
      <c r="B189" s="48"/>
      <c r="C189" s="53"/>
      <c r="D189" s="560" t="str">
        <f>InpC!$F$27</f>
        <v>PR19</v>
      </c>
      <c r="E189" s="29" t="str">
        <f>'[2]Bio Resources'!E$957</f>
        <v>RCV CPI(H) + RPI wedge bf balance BEG - BR - nominal</v>
      </c>
      <c r="F189" s="29">
        <f>'[2]Bio Resources'!F$957</f>
        <v>0</v>
      </c>
      <c r="G189" s="44" t="str">
        <f>'[2]Bio Resources'!G$957</f>
        <v>£m</v>
      </c>
      <c r="H189" s="142">
        <f t="shared" si="6"/>
        <v>735.35148300595529</v>
      </c>
      <c r="I189" s="709"/>
      <c r="J189" s="47">
        <f>'[2]Bio Resources'!P$957</f>
        <v>735.35148300595529</v>
      </c>
      <c r="K189" s="142"/>
    </row>
    <row r="190" spans="1:11" s="42" customFormat="1">
      <c r="A190" s="48"/>
      <c r="B190" s="48"/>
      <c r="C190" s="53"/>
      <c r="D190" s="560" t="str">
        <f>InpC!$F$27</f>
        <v>PR19</v>
      </c>
      <c r="E190" s="29" t="str">
        <f>'[2]Bio Resources'!E$958</f>
        <v>Indexation on RCV - CPI(H) + RPI wedge bf balance - BR - nominal</v>
      </c>
      <c r="F190" s="29">
        <f>'[2]Bio Resources'!F$958</f>
        <v>0</v>
      </c>
      <c r="G190" s="44" t="str">
        <f>'[2]Bio Resources'!G$958</f>
        <v>£m</v>
      </c>
      <c r="H190" s="142">
        <f t="shared" si="6"/>
        <v>22.060544490178678</v>
      </c>
      <c r="I190" s="709"/>
      <c r="J190" s="47">
        <f>'[2]Bio Resources'!P$958</f>
        <v>22.060544490178678</v>
      </c>
      <c r="K190" s="142"/>
    </row>
    <row r="191" spans="1:11" s="545" customFormat="1" ht="12.75" customHeight="1">
      <c r="A191" s="106"/>
      <c r="B191" s="106"/>
      <c r="C191" s="107"/>
      <c r="D191" s="560" t="str">
        <f>InpC!$F$27</f>
        <v>PR19</v>
      </c>
      <c r="E191" s="29" t="str">
        <f>'[2]Bio Resources'!E$959</f>
        <v>RCV - CPI(H) + RPI wedge bf depreciation - BR - nominal</v>
      </c>
      <c r="F191" s="29">
        <f>'[2]Bio Resources'!F$959</f>
        <v>0</v>
      </c>
      <c r="G191" s="44" t="str">
        <f>'[2]Bio Resources'!G$959</f>
        <v>£m</v>
      </c>
      <c r="H191" s="142">
        <f t="shared" si="6"/>
        <v>39.10671868737343</v>
      </c>
      <c r="I191" s="709"/>
      <c r="J191" s="47">
        <f>'[2]Bio Resources'!P$959</f>
        <v>39.10671868737343</v>
      </c>
      <c r="K191" s="142"/>
    </row>
    <row r="192" spans="1:11" s="42" customFormat="1">
      <c r="A192" s="48"/>
      <c r="B192" s="48"/>
      <c r="C192" s="53"/>
      <c r="D192" s="29"/>
      <c r="E192" s="10"/>
      <c r="F192" s="128"/>
      <c r="G192" s="736"/>
      <c r="H192" s="142"/>
      <c r="I192" s="149"/>
      <c r="J192" s="14"/>
      <c r="K192" s="142"/>
    </row>
    <row r="193" spans="1:11" s="42" customFormat="1">
      <c r="A193" s="48"/>
      <c r="B193" s="48"/>
      <c r="C193" s="53"/>
      <c r="D193" s="560" t="str">
        <f>InpC!$F$27</f>
        <v>PR19</v>
      </c>
      <c r="E193" s="29" t="str">
        <f>'[2]Bio Resources'!E$1029 &amp;  " - RCV additions depreciation"</f>
        <v>Post 2020 investment run off rate  - Method used to apply run off rate (straight line or reducing balance) ~ bioresources - RCV additions depreciation</v>
      </c>
      <c r="F193" s="29" t="str">
        <f>'[2]Bio Resources'!F$1029</f>
        <v>Reducing balance</v>
      </c>
      <c r="G193" s="44" t="str">
        <f>'[2]Bio Resources'!G$1029</f>
        <v>switch</v>
      </c>
      <c r="H193" s="750" t="s">
        <v>641</v>
      </c>
      <c r="I193" s="29"/>
      <c r="J193" s="29"/>
      <c r="K193" s="120"/>
    </row>
    <row r="194" spans="1:11" s="545" customFormat="1" ht="12.75" customHeight="1">
      <c r="A194" s="106"/>
      <c r="B194" s="106"/>
      <c r="C194" s="107"/>
      <c r="D194" s="560" t="str">
        <f>InpC!$F$27</f>
        <v>PR19</v>
      </c>
      <c r="E194" s="143" t="str">
        <f>'[2]Bio Resources'!E$1019 &amp; " - BR"</f>
        <v>Proportion of capex that is subject to depreciation in year of acquisition - RCV - BR</v>
      </c>
      <c r="F194" s="394"/>
      <c r="G194" s="232" t="str">
        <f>'[2]Bio Resources'!G$1019</f>
        <v>%</v>
      </c>
      <c r="H194" s="575">
        <f xml:space="preserve"> IF(I194 &lt;&gt; "", I194, J194)</f>
        <v>0.5</v>
      </c>
      <c r="I194" s="729"/>
      <c r="J194" s="394">
        <f>'[2]Bio Resources'!F$1019</f>
        <v>0.5</v>
      </c>
      <c r="K194" s="109"/>
    </row>
    <row r="195" spans="1:11" s="545" customFormat="1" ht="12.75" customHeight="1">
      <c r="A195" s="106"/>
      <c r="B195" s="106"/>
      <c r="C195" s="107"/>
      <c r="D195" s="560" t="str">
        <f>InpC!$F$27</f>
        <v>PR19</v>
      </c>
      <c r="E195" s="112" t="str">
        <f>'[2]Bio Resources'!E$1042</f>
        <v>RCV additions balance BEG - BR - nominal</v>
      </c>
      <c r="F195" s="112">
        <f>'[2]Bio Resources'!F$1042</f>
        <v>0</v>
      </c>
      <c r="G195" s="183" t="str">
        <f>'[2]Bio Resources'!G$1042</f>
        <v>£m</v>
      </c>
      <c r="H195" s="142">
        <f xml:space="preserve"> IF(I195 &lt;&gt; "", I195, J195)</f>
        <v>342.4118076337295</v>
      </c>
      <c r="I195" s="709"/>
      <c r="J195" s="678">
        <f>'[2]Bio Resources'!P$1042</f>
        <v>342.4118076337295</v>
      </c>
      <c r="K195" s="109"/>
    </row>
    <row r="196" spans="1:11" s="545" customFormat="1" ht="12.75" customHeight="1">
      <c r="A196" s="106"/>
      <c r="B196" s="106"/>
      <c r="C196" s="107"/>
      <c r="D196" s="560" t="str">
        <f>InpC!$F$27</f>
        <v>PR19</v>
      </c>
      <c r="E196" s="29" t="str">
        <f>'[2]Bio Resources'!E$1014</f>
        <v>Indexation of RCV additions b/f - BR - nominal</v>
      </c>
      <c r="F196" s="29">
        <f>'[2]Bio Resources'!F$1014</f>
        <v>0</v>
      </c>
      <c r="G196" s="44" t="str">
        <f>'[2]Bio Resources'!G$1014</f>
        <v>£m</v>
      </c>
      <c r="H196" s="142">
        <f xml:space="preserve"> IF(I196 &lt;&gt; "", I196, J196)</f>
        <v>6.848236152674672</v>
      </c>
      <c r="I196" s="709"/>
      <c r="J196" s="679">
        <f>'[2]Bio Resources'!P$1014</f>
        <v>6.848236152674672</v>
      </c>
      <c r="K196" s="142"/>
    </row>
    <row r="197" spans="1:11" s="545" customFormat="1" ht="12.75" customHeight="1">
      <c r="A197" s="106"/>
      <c r="B197" s="106"/>
      <c r="C197" s="107"/>
      <c r="D197" s="560" t="str">
        <f>InpC!$F$27</f>
        <v>PR19</v>
      </c>
      <c r="E197" s="29" t="str">
        <f>'[2]Bio Resources'!E$1020</f>
        <v>Bio resources: Non-PAYG Totex - nominal</v>
      </c>
      <c r="F197" s="29">
        <f>'[2]Bio Resources'!F$1020</f>
        <v>0</v>
      </c>
      <c r="G197" s="44" t="str">
        <f>'[2]Bio Resources'!G$1020</f>
        <v>£m</v>
      </c>
      <c r="H197" s="142">
        <f xml:space="preserve"> IF(I197 &lt;&gt; "", I197, J197)</f>
        <v>70.636656867593757</v>
      </c>
      <c r="I197" s="709"/>
      <c r="J197" s="679">
        <f>'[2]Bio Resources'!P$1020</f>
        <v>70.636656867593757</v>
      </c>
      <c r="K197" s="142"/>
    </row>
    <row r="198" spans="1:11" s="42" customFormat="1">
      <c r="A198" s="48"/>
      <c r="B198" s="48"/>
      <c r="C198" s="53"/>
      <c r="D198" s="109"/>
      <c r="E198" s="29"/>
      <c r="F198" s="44"/>
      <c r="G198" s="44"/>
      <c r="H198" s="142"/>
      <c r="I198" s="149"/>
      <c r="J198" s="680"/>
      <c r="K198" s="119"/>
    </row>
    <row r="199" spans="1:11" s="42" customFormat="1">
      <c r="A199" s="48"/>
      <c r="B199" s="48"/>
      <c r="C199" s="53"/>
      <c r="D199" s="560" t="str">
        <f>InpC!$F$27</f>
        <v>PR19</v>
      </c>
      <c r="E199" s="29" t="str">
        <f>[2]InpActive!E$871</f>
        <v>Run-off rate - CPI(H) - active - BR</v>
      </c>
      <c r="F199" s="29">
        <f>[2]InpActive!F$871</f>
        <v>0</v>
      </c>
      <c r="G199" s="44" t="str">
        <f>[2]InpActive!G$871</f>
        <v>%</v>
      </c>
      <c r="H199" s="575">
        <f xml:space="preserve"> IF(I199 &lt;&gt; "", I199, J199)</f>
        <v>5.1632027572433868E-2</v>
      </c>
      <c r="I199" s="729"/>
      <c r="J199" s="66">
        <f>[2]InpActive!P$871</f>
        <v>5.1632027572433868E-2</v>
      </c>
      <c r="K199" s="119"/>
    </row>
    <row r="200" spans="1:11" s="42" customFormat="1">
      <c r="A200" s="48"/>
      <c r="B200" s="48"/>
      <c r="C200" s="53"/>
      <c r="D200" s="560" t="str">
        <f>InpC!$F$27</f>
        <v>PR19</v>
      </c>
      <c r="E200" s="29" t="str">
        <f>[2]InpActive!E$872</f>
        <v>Run-off rate - CPI(H) + RPI wedge - active - BR</v>
      </c>
      <c r="F200" s="29">
        <f>[2]InpActive!F$872</f>
        <v>0</v>
      </c>
      <c r="G200" s="44" t="str">
        <f>[2]InpActive!G$872</f>
        <v>%</v>
      </c>
      <c r="H200" s="575">
        <f xml:space="preserve"> IF(I200 &lt;&gt; "", I200, J200)</f>
        <v>5.1632027572433868E-2</v>
      </c>
      <c r="I200" s="729"/>
      <c r="J200" s="66">
        <f>[2]InpActive!P$872</f>
        <v>5.1632027572433868E-2</v>
      </c>
      <c r="K200" s="119"/>
    </row>
    <row r="201" spans="1:11" s="42" customFormat="1">
      <c r="A201" s="104"/>
      <c r="B201" s="104"/>
      <c r="C201" s="105"/>
      <c r="D201" s="560" t="str">
        <f>InpC!$F$27</f>
        <v>PR19</v>
      </c>
      <c r="E201" s="29" t="str">
        <f>[2]InpActive!E$873</f>
        <v>Run-off rate - RCV additions - active - BR</v>
      </c>
      <c r="F201" s="29">
        <f>[2]InpActive!F$873</f>
        <v>0</v>
      </c>
      <c r="G201" s="44" t="str">
        <f>[2]InpActive!G$873</f>
        <v>%</v>
      </c>
      <c r="H201" s="575">
        <f xml:space="preserve"> IF(I201 &lt;&gt; "", I201, J201)</f>
        <v>7.5631229250522083E-2</v>
      </c>
      <c r="I201" s="729"/>
      <c r="J201" s="66">
        <f>[2]InpActive!P$873</f>
        <v>7.5631229250522083E-2</v>
      </c>
      <c r="K201" s="311"/>
    </row>
    <row r="202" spans="1:11" s="42" customFormat="1">
      <c r="A202" s="104"/>
      <c r="B202" s="104"/>
      <c r="C202" s="105"/>
      <c r="D202" s="29"/>
      <c r="E202" s="29"/>
      <c r="F202" s="227"/>
      <c r="G202" s="227"/>
      <c r="H202" s="142"/>
      <c r="I202" s="201"/>
      <c r="J202" s="66"/>
      <c r="K202" s="311"/>
    </row>
    <row r="203" spans="1:11" ht="12.75" customHeight="1">
      <c r="A203" s="22"/>
      <c r="B203" s="11" t="s">
        <v>363</v>
      </c>
      <c r="C203" s="226"/>
      <c r="D203" s="31"/>
      <c r="E203" s="31"/>
      <c r="F203" s="391"/>
      <c r="G203" s="227"/>
      <c r="H203" s="142"/>
      <c r="I203" s="108"/>
      <c r="J203" s="115"/>
      <c r="K203" s="311"/>
    </row>
    <row r="204" spans="1:11" s="545" customFormat="1" ht="12.75" customHeight="1">
      <c r="A204" s="106"/>
      <c r="B204" s="106"/>
      <c r="C204" s="107" t="s">
        <v>28</v>
      </c>
      <c r="D204" s="165"/>
      <c r="E204" s="109"/>
      <c r="F204" s="108"/>
      <c r="G204" s="108"/>
      <c r="H204" s="142"/>
      <c r="I204" s="109"/>
      <c r="J204" s="109"/>
      <c r="K204" s="109"/>
    </row>
    <row r="205" spans="1:11" ht="12.75" customHeight="1">
      <c r="A205" s="22"/>
      <c r="D205" s="596" t="str">
        <f>InpC!$F$26</f>
        <v>PR14</v>
      </c>
      <c r="E205" s="47" t="str">
        <f>'[1]Water Real AR'!E$107 &amp; " - real - water"</f>
        <v>Average 2015 RCV - real - water</v>
      </c>
      <c r="F205" s="149"/>
      <c r="G205" s="676" t="s">
        <v>2</v>
      </c>
      <c r="H205" s="142">
        <f xml:space="preserve"> IF(I205 &lt;&gt; "", I205, J205)</f>
        <v>4006.8824086481932</v>
      </c>
      <c r="I205" s="709"/>
      <c r="J205" s="47">
        <f>'[1]Water Real AR'!N$107</f>
        <v>4006.8824086481932</v>
      </c>
      <c r="K205" s="109"/>
    </row>
    <row r="206" spans="1:11" s="42" customFormat="1">
      <c r="A206" s="48"/>
      <c r="B206" s="48"/>
      <c r="C206" s="53"/>
      <c r="D206" s="596" t="str">
        <f>InpC!$F$26</f>
        <v>PR14</v>
      </c>
      <c r="E206" s="29" t="str">
        <f>'[1]Water Real AR'!E$112 &amp; " - real - water"</f>
        <v>Return on 2015 RCV Bf - real - water</v>
      </c>
      <c r="F206" s="149"/>
      <c r="G206" s="676" t="s">
        <v>2</v>
      </c>
      <c r="H206" s="142">
        <f xml:space="preserve"> IF(I206 &lt;&gt; "", I206, J206)</f>
        <v>144.24776671133495</v>
      </c>
      <c r="I206" s="709"/>
      <c r="J206" s="49">
        <f>'[1]Water Real AR'!N$112</f>
        <v>144.24776671133495</v>
      </c>
      <c r="K206" s="605"/>
    </row>
    <row r="207" spans="1:11" s="42" customFormat="1">
      <c r="A207" s="48"/>
      <c r="B207" s="48"/>
      <c r="C207" s="53"/>
      <c r="D207" s="29"/>
      <c r="E207" s="29"/>
      <c r="F207" s="149"/>
      <c r="G207" s="676"/>
      <c r="H207" s="142"/>
      <c r="I207" s="109"/>
      <c r="J207" s="49"/>
      <c r="K207" s="605"/>
    </row>
    <row r="208" spans="1:11" s="42" customFormat="1">
      <c r="A208" s="48"/>
      <c r="B208" s="48"/>
      <c r="C208" s="53"/>
      <c r="D208" s="596" t="str">
        <f>InpC!$F$26</f>
        <v>PR14</v>
      </c>
      <c r="E208" s="29" t="str">
        <f>'[1]Water Real AR'!E$108 &amp; " - real - water"</f>
        <v>Average RCV; post 2015 additions - real - water</v>
      </c>
      <c r="F208" s="610"/>
      <c r="G208" s="676" t="s">
        <v>2</v>
      </c>
      <c r="H208" s="142">
        <f xml:space="preserve"> IF(I208 &lt;&gt; "", I208, J208)</f>
        <v>1126.0430183351523</v>
      </c>
      <c r="I208" s="709"/>
      <c r="J208" s="49">
        <f>'[1]Water Real AR'!N$108</f>
        <v>1126.0430183351523</v>
      </c>
      <c r="K208" s="605"/>
    </row>
    <row r="209" spans="1:11" ht="12.75" customHeight="1">
      <c r="A209" s="22"/>
      <c r="D209" s="596" t="str">
        <f>InpC!$F$26</f>
        <v>PR14</v>
      </c>
      <c r="E209" s="23" t="str">
        <f>'[1]Water Real AR'!E$113  &amp; " - real - water"</f>
        <v>Return on RCV Additions - real - water</v>
      </c>
      <c r="F209" s="675"/>
      <c r="G209" s="676" t="s">
        <v>2</v>
      </c>
      <c r="H209" s="142">
        <f xml:space="preserve"> IF(I209 &lt;&gt; "", I209, J209)</f>
        <v>40.537548660065482</v>
      </c>
      <c r="I209" s="709"/>
      <c r="J209" s="49">
        <f>'[1]Water Real AR'!N$113</f>
        <v>40.537548660065482</v>
      </c>
      <c r="K209" s="605"/>
    </row>
    <row r="210" spans="1:11">
      <c r="D210" s="219"/>
      <c r="E210" s="29"/>
      <c r="F210" s="149"/>
      <c r="G210" s="676"/>
      <c r="H210" s="142"/>
      <c r="I210" s="676"/>
      <c r="J210" s="66"/>
    </row>
    <row r="211" spans="1:11" s="545" customFormat="1" ht="12.75" customHeight="1">
      <c r="A211" s="106"/>
      <c r="B211" s="106"/>
      <c r="C211" s="107" t="s">
        <v>7</v>
      </c>
      <c r="D211" s="165"/>
      <c r="E211" s="109"/>
      <c r="F211" s="108"/>
      <c r="G211" s="108"/>
      <c r="H211" s="142"/>
      <c r="I211" s="108"/>
      <c r="J211" s="109"/>
      <c r="K211" s="109"/>
    </row>
    <row r="212" spans="1:11" ht="12.75" customHeight="1">
      <c r="A212" s="22"/>
      <c r="D212" s="596" t="str">
        <f>InpC!$F$26</f>
        <v>PR14</v>
      </c>
      <c r="E212" s="23" t="str">
        <f>'[1]Waste Real AR'!E$107 &amp; " - real - Wastewater"</f>
        <v>Average 2015 RCV - real - Wastewater</v>
      </c>
      <c r="F212" s="675"/>
      <c r="G212" s="676" t="s">
        <v>2</v>
      </c>
      <c r="H212" s="142">
        <f xml:space="preserve"> IF(I212 &lt;&gt; "", I212, J212)</f>
        <v>4332.2073569947297</v>
      </c>
      <c r="I212" s="796">
        <f>IF(InpC!$F$64=0,"",H418)</f>
        <v>4332.2073569947297</v>
      </c>
      <c r="J212" s="47">
        <f>'[1]Waste Real AR'!N$107</f>
        <v>5200.0347512826838</v>
      </c>
      <c r="K212" s="109"/>
    </row>
    <row r="213" spans="1:11" s="42" customFormat="1">
      <c r="A213" s="48"/>
      <c r="B213" s="48"/>
      <c r="C213" s="53"/>
      <c r="D213" s="596" t="str">
        <f>InpC!$F$26</f>
        <v>PR14</v>
      </c>
      <c r="E213" s="29" t="str">
        <f>'[1]Waste Real AR'!E$112 &amp; " - real - Wastewater"</f>
        <v>Return on 2015 RCV Bf - real - Wastewater</v>
      </c>
      <c r="F213" s="610"/>
      <c r="G213" s="676" t="s">
        <v>2</v>
      </c>
      <c r="H213" s="142">
        <f xml:space="preserve"> IF(I213 &lt;&gt; "", I213, J213)</f>
        <v>155.95946485181025</v>
      </c>
      <c r="I213" s="796">
        <f>IF(InpC!$F$64=0,"",H419)</f>
        <v>155.95946485181025</v>
      </c>
      <c r="J213" s="49">
        <f>'[1]Waste Real AR'!N$112</f>
        <v>187.20125104617659</v>
      </c>
      <c r="K213" s="605"/>
    </row>
    <row r="214" spans="1:11" s="42" customFormat="1">
      <c r="A214" s="48"/>
      <c r="B214" s="48"/>
      <c r="C214" s="53"/>
      <c r="D214" s="29"/>
      <c r="E214" s="29"/>
      <c r="F214" s="392"/>
      <c r="G214" s="676"/>
      <c r="H214" s="142"/>
      <c r="I214" s="676"/>
      <c r="J214" s="49"/>
      <c r="K214" s="109"/>
    </row>
    <row r="215" spans="1:11" s="42" customFormat="1">
      <c r="A215" s="48"/>
      <c r="B215" s="48"/>
      <c r="C215" s="53"/>
      <c r="D215" s="596" t="str">
        <f>InpC!$F$26</f>
        <v>PR14</v>
      </c>
      <c r="E215" s="29" t="str">
        <f>'[1]Waste Real AR'!E$108 &amp; " - real - Wastewater"</f>
        <v>Average RCV; post 2015 additions - real - Wastewater</v>
      </c>
      <c r="F215" s="610"/>
      <c r="G215" s="676" t="s">
        <v>2</v>
      </c>
      <c r="H215" s="142">
        <f xml:space="preserve"> IF(I215 &lt;&gt; "", I215, J215)</f>
        <v>1554.5436782268744</v>
      </c>
      <c r="I215" s="796">
        <f>IF(InpC!$F$64=0,"",H420)</f>
        <v>1554.5436782268744</v>
      </c>
      <c r="J215" s="49">
        <f>'[1]Waste Real AR'!N$108</f>
        <v>1950.3368112122198</v>
      </c>
      <c r="K215" s="605"/>
    </row>
    <row r="216" spans="1:11" s="42" customFormat="1">
      <c r="A216" s="48"/>
      <c r="B216" s="48"/>
      <c r="C216" s="53"/>
      <c r="D216" s="596" t="str">
        <f>InpC!$F$26</f>
        <v>PR14</v>
      </c>
      <c r="E216" s="23" t="str">
        <f>'[1]Waste Real AR'!E$113  &amp; " - real - Wastewater"</f>
        <v>Return on RCV Additions - real - Wastewater</v>
      </c>
      <c r="F216" s="675"/>
      <c r="G216" s="676" t="s">
        <v>2</v>
      </c>
      <c r="H216" s="142">
        <f xml:space="preserve"> IF(I216 &lt;&gt; "", I216, J216)</f>
        <v>55.963572416167473</v>
      </c>
      <c r="I216" s="796">
        <f>IF(InpC!$F$64=0,"",H421)</f>
        <v>55.963572416167473</v>
      </c>
      <c r="J216" s="47">
        <f>'[1]Waste Real AR'!N$113</f>
        <v>70.212125203639914</v>
      </c>
      <c r="K216" s="605"/>
    </row>
    <row r="217" spans="1:11">
      <c r="D217" s="29"/>
      <c r="F217" s="44"/>
      <c r="H217" s="142"/>
    </row>
    <row r="218" spans="1:11" s="545" customFormat="1" ht="12.75" customHeight="1">
      <c r="A218" s="106"/>
      <c r="B218" s="106"/>
      <c r="C218" s="107" t="s">
        <v>53</v>
      </c>
      <c r="D218" s="165"/>
      <c r="E218" s="109"/>
      <c r="F218" s="108"/>
      <c r="G218" s="108"/>
      <c r="H218" s="142"/>
      <c r="I218" s="108"/>
      <c r="J218" s="109"/>
      <c r="K218" s="109"/>
    </row>
    <row r="219" spans="1:11" s="42" customFormat="1">
      <c r="A219" s="48"/>
      <c r="B219" s="48"/>
      <c r="C219" s="53"/>
      <c r="D219" s="560" t="str">
        <f>InpC!$F$27</f>
        <v>PR19</v>
      </c>
      <c r="E219" s="29" t="str">
        <f>'[2]Water Resources'!E$859</f>
        <v>Average of RCV - CPI(H) bf - WR - nominal</v>
      </c>
      <c r="F219" s="29">
        <f>'[2]Water Resources'!F$859</f>
        <v>0</v>
      </c>
      <c r="G219" s="44" t="str">
        <f>'[2]Water Resources'!G$859</f>
        <v>£m</v>
      </c>
      <c r="H219" s="142">
        <f xml:space="preserve"> IF(I219 &lt;&gt; "", I219, J219)</f>
        <v>141.68895848108855</v>
      </c>
      <c r="I219" s="709"/>
      <c r="J219" s="47">
        <f>'[2]Water Resources'!P$859</f>
        <v>141.68895848108855</v>
      </c>
      <c r="K219" s="119"/>
    </row>
    <row r="220" spans="1:11" s="42" customFormat="1">
      <c r="A220" s="104"/>
      <c r="B220" s="104"/>
      <c r="C220" s="105"/>
      <c r="D220" s="560" t="str">
        <f>InpC!$F$27</f>
        <v>PR19</v>
      </c>
      <c r="E220" s="31" t="str">
        <f>'[2]Water Resources'!E$852</f>
        <v>WACC real on RCV - CPI(H) bf and additions - WR</v>
      </c>
      <c r="F220" s="31">
        <f>'[2]Water Resources'!F$852</f>
        <v>0</v>
      </c>
      <c r="G220" s="227" t="str">
        <f>'[2]Water Resources'!G$852</f>
        <v>%</v>
      </c>
      <c r="H220" s="575">
        <f xml:space="preserve"> IF(I220 &lt;&gt; "", I220, J220)</f>
        <v>3.3039191176470473E-2</v>
      </c>
      <c r="I220" s="729"/>
      <c r="J220" s="67">
        <f>'[2]Water Resources'!P$852</f>
        <v>3.3039191176470473E-2</v>
      </c>
      <c r="K220" s="311" t="s">
        <v>355</v>
      </c>
    </row>
    <row r="221" spans="1:11" s="42" customFormat="1">
      <c r="A221" s="48"/>
      <c r="B221" s="48"/>
      <c r="C221" s="53"/>
      <c r="D221" s="560" t="str">
        <f>InpC!$F$27</f>
        <v>PR19</v>
      </c>
      <c r="E221" s="29" t="str">
        <f>'[2]Water Resources'!E$863</f>
        <v>Return on RCV - CPI(H) bf - WR - nominal</v>
      </c>
      <c r="F221" s="29">
        <f>'[2]Water Resources'!F$863</f>
        <v>0</v>
      </c>
      <c r="G221" s="44" t="str">
        <f>'[2]Water Resources'!G$863</f>
        <v>£m</v>
      </c>
      <c r="H221" s="142">
        <f xml:space="preserve"> IF(I221 &lt;&gt; "", I221, J221)</f>
        <v>4.6812885868516716</v>
      </c>
      <c r="I221" s="709"/>
      <c r="J221" s="47">
        <f>'[2]Water Resources'!P$863</f>
        <v>4.6812885868516716</v>
      </c>
      <c r="K221" s="311"/>
    </row>
    <row r="222" spans="1:11" s="545" customFormat="1" ht="12.75" customHeight="1">
      <c r="A222" s="106"/>
      <c r="B222" s="106"/>
      <c r="C222" s="107"/>
      <c r="D222" s="109"/>
      <c r="E222" s="109"/>
      <c r="F222" s="108"/>
      <c r="G222" s="108"/>
      <c r="H222" s="142"/>
      <c r="I222" s="108"/>
      <c r="J222" s="109"/>
      <c r="K222" s="212"/>
    </row>
    <row r="223" spans="1:11" s="42" customFormat="1">
      <c r="A223" s="48"/>
      <c r="B223" s="48"/>
      <c r="C223" s="53"/>
      <c r="D223" s="560" t="str">
        <f>InpC!$F$27</f>
        <v>PR19</v>
      </c>
      <c r="E223" s="29" t="str">
        <f>'[2]Water Resources'!E$979</f>
        <v>Average of RCV - CPI(H) + RPI wedge bf - WR - nominal</v>
      </c>
      <c r="F223" s="29">
        <f>'[2]Water Resources'!F$979</f>
        <v>0</v>
      </c>
      <c r="G223" s="44" t="str">
        <f>'[2]Water Resources'!G$979</f>
        <v>£m</v>
      </c>
      <c r="H223" s="142">
        <f xml:space="preserve"> IF(I223 &lt;&gt; "", I223, J223)</f>
        <v>148.89505852726296</v>
      </c>
      <c r="I223" s="709"/>
      <c r="J223" s="47">
        <f>'[2]Water Resources'!P$979</f>
        <v>148.89505852726296</v>
      </c>
      <c r="K223" s="311"/>
    </row>
    <row r="224" spans="1:11" s="42" customFormat="1">
      <c r="A224" s="48"/>
      <c r="B224" s="48"/>
      <c r="C224" s="53"/>
      <c r="D224" s="560" t="str">
        <f>InpC!$F$27</f>
        <v>PR19</v>
      </c>
      <c r="E224" s="29" t="str">
        <f>'[2]Water Resources'!E$972</f>
        <v>WACC on RCV - CPI(H) + RPI wedge bf and additions - WR</v>
      </c>
      <c r="F224" s="29">
        <f>'[2]Water Resources'!F$972</f>
        <v>0</v>
      </c>
      <c r="G224" s="44" t="str">
        <f>'[2]Water Resources'!G$972</f>
        <v>%</v>
      </c>
      <c r="H224" s="575">
        <f xml:space="preserve"> IF(I224 &lt;&gt; "", I224, J224)</f>
        <v>2.3009684466019475E-2</v>
      </c>
      <c r="I224" s="729"/>
      <c r="J224" s="67">
        <f>'[2]Water Resources'!P$972</f>
        <v>2.3009684466019475E-2</v>
      </c>
      <c r="K224" s="311" t="s">
        <v>355</v>
      </c>
    </row>
    <row r="225" spans="1:11" s="42" customFormat="1">
      <c r="A225" s="48"/>
      <c r="B225" s="48"/>
      <c r="C225" s="53"/>
      <c r="D225" s="560" t="str">
        <f>InpC!$F$27</f>
        <v>PR19</v>
      </c>
      <c r="E225" s="29" t="str">
        <f>'[2]Water Resources'!E$983</f>
        <v>Return on RCV - CPI(H) + RPI wedge bf - WR - nominal</v>
      </c>
      <c r="F225" s="29">
        <f>'[2]Water Resources'!F$983</f>
        <v>0</v>
      </c>
      <c r="G225" s="44" t="str">
        <f>'[2]Water Resources'!G$983</f>
        <v>£m</v>
      </c>
      <c r="H225" s="142">
        <f xml:space="preserve"> IF(I225 &lt;&gt; "", I225, J225)</f>
        <v>3.4260283152618234</v>
      </c>
      <c r="I225" s="709"/>
      <c r="J225" s="47">
        <f>'[2]Water Resources'!P$983</f>
        <v>3.4260283152618234</v>
      </c>
      <c r="K225" s="119"/>
    </row>
    <row r="226" spans="1:11" s="42" customFormat="1">
      <c r="A226" s="48"/>
      <c r="B226" s="48"/>
      <c r="C226" s="53"/>
      <c r="D226" s="109"/>
      <c r="E226" s="29"/>
      <c r="F226" s="44"/>
      <c r="G226" s="44"/>
      <c r="H226" s="142"/>
      <c r="I226" s="149"/>
      <c r="J226" s="49"/>
      <c r="K226" s="119"/>
    </row>
    <row r="227" spans="1:11" s="42" customFormat="1">
      <c r="A227" s="48"/>
      <c r="B227" s="48"/>
      <c r="C227" s="53"/>
      <c r="D227" s="560" t="str">
        <f>InpC!$F$27</f>
        <v>PR19</v>
      </c>
      <c r="E227" s="31" t="str">
        <f>'[2]Water Resources'!E$1112</f>
        <v>Average of RCV post 2020 additions - WR - nominal</v>
      </c>
      <c r="F227" s="31">
        <f>'[2]Water Resources'!F$1112</f>
        <v>0</v>
      </c>
      <c r="G227" s="227" t="str">
        <f>'[2]Water Resources'!G$1112</f>
        <v>£m</v>
      </c>
      <c r="H227" s="142">
        <f xml:space="preserve"> IF(I227 &lt;&gt; "", I227, J227)</f>
        <v>195.03316344298315</v>
      </c>
      <c r="I227" s="709"/>
      <c r="J227" s="47">
        <f>'[2]Water Resources'!P$1112</f>
        <v>195.03316344298315</v>
      </c>
      <c r="K227" s="119"/>
    </row>
    <row r="228" spans="1:11">
      <c r="D228" s="560" t="str">
        <f>InpC!$F$27</f>
        <v>PR19</v>
      </c>
      <c r="E228" s="119" t="str">
        <f>E220</f>
        <v>WACC real on RCV - CPI(H) bf and additions - WR</v>
      </c>
      <c r="F228" s="119">
        <f>F220</f>
        <v>0</v>
      </c>
      <c r="G228" s="149" t="str">
        <f>G220</f>
        <v>%</v>
      </c>
      <c r="H228" s="575">
        <f xml:space="preserve"> IF(I228 &lt;&gt; "", I228, J228)</f>
        <v>3.3039191176470473E-2</v>
      </c>
      <c r="I228" s="729"/>
      <c r="J228" s="575">
        <f>J220</f>
        <v>3.3039191176470473E-2</v>
      </c>
    </row>
    <row r="229" spans="1:11" s="42" customFormat="1">
      <c r="A229" s="48"/>
      <c r="B229" s="48"/>
      <c r="C229" s="53"/>
      <c r="D229" s="560" t="str">
        <f>InpC!$F$27</f>
        <v>PR19</v>
      </c>
      <c r="E229" s="29" t="str">
        <f>'[2]Water Resources'!E$1116</f>
        <v>Return on RCV additions - WR - nominal</v>
      </c>
      <c r="F229" s="29">
        <f>'[2]Water Resources'!F$1116</f>
        <v>0</v>
      </c>
      <c r="G229" s="44" t="str">
        <f>'[2]Water Resources'!G$1116</f>
        <v>£m</v>
      </c>
      <c r="H229" s="142">
        <f xml:space="preserve"> IF(I229 &lt;&gt; "", I229, J229)</f>
        <v>6.4437379727445325</v>
      </c>
      <c r="I229" s="709"/>
      <c r="J229" s="47">
        <f>'[2]Water Resources'!P$1116</f>
        <v>6.4437379727445325</v>
      </c>
      <c r="K229" s="119"/>
    </row>
    <row r="230" spans="1:11" s="42" customFormat="1">
      <c r="A230" s="104"/>
      <c r="B230" s="104"/>
      <c r="C230" s="105"/>
      <c r="D230" s="565"/>
      <c r="E230" s="31"/>
      <c r="F230" s="227"/>
      <c r="G230" s="227"/>
      <c r="H230" s="142"/>
      <c r="I230" s="201"/>
      <c r="J230" s="67"/>
      <c r="K230" s="311"/>
    </row>
    <row r="231" spans="1:11" s="42" customFormat="1">
      <c r="A231" s="48"/>
      <c r="B231" s="48"/>
      <c r="C231" s="53"/>
      <c r="D231" s="560" t="str">
        <f>InpC!$F$27</f>
        <v>PR19</v>
      </c>
      <c r="E231" s="680" t="str">
        <f>'[2]Water Resources'!E$870</f>
        <v>Average of RCV - CPI(H) other adjustments balance - WR - nominal</v>
      </c>
      <c r="F231" s="680">
        <f>'[2]Water Resources'!F$870</f>
        <v>0</v>
      </c>
      <c r="G231" s="688" t="str">
        <f>'[2]Water Resources'!G$870</f>
        <v>£m</v>
      </c>
      <c r="H231" s="142">
        <f xml:space="preserve"> IF(I231 &lt;&gt; "", I231, J231)</f>
        <v>0</v>
      </c>
      <c r="I231" s="709"/>
      <c r="J231" s="47">
        <f>'[2]Water Resources'!P$870</f>
        <v>0</v>
      </c>
      <c r="K231" s="120" t="s">
        <v>619</v>
      </c>
    </row>
    <row r="232" spans="1:11">
      <c r="D232" s="560" t="str">
        <f>InpC!$F$27</f>
        <v>PR19</v>
      </c>
      <c r="E232" s="119" t="str">
        <f>E224</f>
        <v>WACC on RCV - CPI(H) + RPI wedge bf and additions - WR</v>
      </c>
      <c r="F232" s="119">
        <f>F224</f>
        <v>0</v>
      </c>
      <c r="G232" s="149" t="str">
        <f>G224</f>
        <v>%</v>
      </c>
      <c r="H232" s="575">
        <f xml:space="preserve"> IF(I232 &lt;&gt; "", I232, J232)</f>
        <v>2.3009684466019475E-2</v>
      </c>
      <c r="I232" s="729"/>
      <c r="J232" s="575">
        <f>J224</f>
        <v>2.3009684466019475E-2</v>
      </c>
    </row>
    <row r="233" spans="1:11" s="42" customFormat="1">
      <c r="A233" s="48"/>
      <c r="B233" s="48"/>
      <c r="C233" s="53"/>
      <c r="D233" s="560" t="str">
        <f>InpC!$F$27</f>
        <v>PR19</v>
      </c>
      <c r="E233" s="680" t="str">
        <f>'[2]Water Resources'!E$874</f>
        <v>Return on RCV - CPI(H) other adjustments - WR - nominal</v>
      </c>
      <c r="F233" s="680">
        <f>'[2]Water Resources'!F$874</f>
        <v>0</v>
      </c>
      <c r="G233" s="688">
        <f>'[2]Water Resources'!G$874</f>
        <v>0</v>
      </c>
      <c r="H233" s="142">
        <f xml:space="preserve"> IF(I233 &lt;&gt; "", I233, J233)</f>
        <v>0</v>
      </c>
      <c r="I233" s="709"/>
      <c r="J233" s="47">
        <f>'[2]Water Resources'!P$874</f>
        <v>0</v>
      </c>
      <c r="K233" s="120"/>
    </row>
    <row r="234" spans="1:11" s="42" customFormat="1">
      <c r="A234" s="104"/>
      <c r="B234" s="104"/>
      <c r="C234" s="105"/>
      <c r="D234" s="565"/>
      <c r="E234" s="31"/>
      <c r="F234" s="227"/>
      <c r="G234" s="227"/>
      <c r="H234" s="142"/>
      <c r="I234" s="201"/>
      <c r="J234" s="67"/>
      <c r="K234" s="311"/>
    </row>
    <row r="235" spans="1:11" s="545" customFormat="1" ht="12.75" customHeight="1">
      <c r="A235" s="106"/>
      <c r="B235" s="106"/>
      <c r="C235" s="107" t="s">
        <v>54</v>
      </c>
      <c r="D235" s="165"/>
      <c r="E235" s="109"/>
      <c r="F235" s="108"/>
      <c r="G235" s="108"/>
      <c r="H235" s="142"/>
      <c r="I235" s="108"/>
      <c r="J235" s="109"/>
      <c r="K235" s="109"/>
    </row>
    <row r="236" spans="1:11" s="42" customFormat="1">
      <c r="A236" s="48"/>
      <c r="B236" s="48"/>
      <c r="C236" s="53"/>
      <c r="D236" s="560" t="str">
        <f>InpC!$F$27</f>
        <v>PR19</v>
      </c>
      <c r="E236" s="29" t="str">
        <f>'[2]Water Network'!E$859</f>
        <v>Average of RCV - CPI(H) bf - WN - nominal</v>
      </c>
      <c r="F236" s="29">
        <f>'[2]Water Network'!F$859</f>
        <v>0</v>
      </c>
      <c r="G236" s="44" t="str">
        <f>'[2]Water Network'!G$859</f>
        <v>£m</v>
      </c>
      <c r="H236" s="142">
        <f xml:space="preserve"> IF(I236 &lt;&gt; "", I236, J236)</f>
        <v>2753.9461978357131</v>
      </c>
      <c r="I236" s="709"/>
      <c r="J236" s="47">
        <f>'[2]Water Network'!P$859</f>
        <v>2753.9461978357131</v>
      </c>
      <c r="K236" s="119"/>
    </row>
    <row r="237" spans="1:11" s="42" customFormat="1">
      <c r="A237" s="48"/>
      <c r="B237" s="48"/>
      <c r="C237" s="53"/>
      <c r="D237" s="560" t="str">
        <f>InpC!$F$27</f>
        <v>PR19</v>
      </c>
      <c r="E237" s="31" t="str">
        <f>'[2]Water Network'!E$852</f>
        <v>WACC real on RCV - CPI(H) bf and additions - WN</v>
      </c>
      <c r="F237" s="31">
        <f>'[2]Water Network'!F$852</f>
        <v>0</v>
      </c>
      <c r="G237" s="227" t="str">
        <f>'[2]Water Network'!G$852</f>
        <v>%</v>
      </c>
      <c r="H237" s="575">
        <f xml:space="preserve"> IF(I237 &lt;&gt; "", I237, J237)</f>
        <v>3.3039191176470473E-2</v>
      </c>
      <c r="I237" s="729"/>
      <c r="J237" s="67">
        <f>'[2]Water Network'!P$852</f>
        <v>3.3039191176470473E-2</v>
      </c>
      <c r="K237" s="311" t="s">
        <v>355</v>
      </c>
    </row>
    <row r="238" spans="1:11" s="42" customFormat="1">
      <c r="A238" s="48"/>
      <c r="B238" s="48"/>
      <c r="C238" s="53"/>
      <c r="D238" s="560" t="str">
        <f>InpC!$F$27</f>
        <v>PR19</v>
      </c>
      <c r="E238" s="29" t="str">
        <f>'[2]Water Network'!E$863</f>
        <v>Return on RCV - CPI(H) bf - WN - nominal</v>
      </c>
      <c r="F238" s="29">
        <f>'[2]Water Network'!F$863</f>
        <v>0</v>
      </c>
      <c r="G238" s="44" t="str">
        <f>'[2]Water Network'!G$863</f>
        <v>£m</v>
      </c>
      <c r="H238" s="142">
        <f xml:space="preserve"> IF(I238 &lt;&gt; "", I238, J238)</f>
        <v>90.9881549200081</v>
      </c>
      <c r="I238" s="709"/>
      <c r="J238" s="47">
        <f>'[2]Water Network'!P$863</f>
        <v>90.9881549200081</v>
      </c>
      <c r="K238" s="311"/>
    </row>
    <row r="239" spans="1:11" s="42" customFormat="1">
      <c r="A239" s="48"/>
      <c r="B239" s="48"/>
      <c r="C239" s="53"/>
      <c r="D239" s="109"/>
      <c r="E239" s="109"/>
      <c r="F239" s="108"/>
      <c r="G239" s="108"/>
      <c r="H239" s="142"/>
      <c r="I239" s="108"/>
      <c r="J239" s="109"/>
      <c r="K239" s="311"/>
    </row>
    <row r="240" spans="1:11" s="42" customFormat="1">
      <c r="A240" s="48"/>
      <c r="B240" s="48"/>
      <c r="C240" s="53"/>
      <c r="D240" s="560" t="str">
        <f>InpC!$F$27</f>
        <v>PR19</v>
      </c>
      <c r="E240" s="29" t="str">
        <f>'[2]Water Network'!E$979</f>
        <v>Average of RCV - CPI(H) + RPI wedge bf - WN - nominal</v>
      </c>
      <c r="F240" s="29">
        <f>'[2]Water Network'!F$979</f>
        <v>0</v>
      </c>
      <c r="G240" s="44" t="str">
        <f>'[2]Water Network'!G$979</f>
        <v>£m</v>
      </c>
      <c r="H240" s="142">
        <f xml:space="preserve"> IF(I240 &lt;&gt; "", I240, J240)</f>
        <v>2959.4150944965868</v>
      </c>
      <c r="I240" s="709"/>
      <c r="J240" s="47">
        <f>'[2]Water Network'!P$979</f>
        <v>2959.4150944965868</v>
      </c>
      <c r="K240" s="311"/>
    </row>
    <row r="241" spans="1:11" s="42" customFormat="1">
      <c r="A241" s="48"/>
      <c r="B241" s="48"/>
      <c r="C241" s="53"/>
      <c r="D241" s="560" t="str">
        <f>InpC!$F$27</f>
        <v>PR19</v>
      </c>
      <c r="E241" s="29" t="str">
        <f>'[2]Water Network'!E$972</f>
        <v>WACC on RCV - CPI(H) + RPI wedge bf and additions - WN</v>
      </c>
      <c r="F241" s="29">
        <f>'[2]Water Network'!F$972</f>
        <v>0</v>
      </c>
      <c r="G241" s="44" t="str">
        <f>'[2]Water Network'!G$972</f>
        <v>%</v>
      </c>
      <c r="H241" s="575">
        <f xml:space="preserve"> IF(I241 &lt;&gt; "", I241, J241)</f>
        <v>2.3009684466019475E-2</v>
      </c>
      <c r="I241" s="729"/>
      <c r="J241" s="67">
        <f>'[2]Water Network'!P$972</f>
        <v>2.3009684466019475E-2</v>
      </c>
      <c r="K241" s="311" t="s">
        <v>355</v>
      </c>
    </row>
    <row r="242" spans="1:11" s="42" customFormat="1">
      <c r="A242" s="48"/>
      <c r="B242" s="48"/>
      <c r="C242" s="53"/>
      <c r="D242" s="560" t="str">
        <f>InpC!$F$27</f>
        <v>PR19</v>
      </c>
      <c r="E242" s="29" t="str">
        <f>'[2]Water Network'!E$983</f>
        <v>Return on RCV - CPI(H) + RPI wedge bf - WN - nominal</v>
      </c>
      <c r="F242" s="29">
        <f>'[2]Water Network'!F$983</f>
        <v>0</v>
      </c>
      <c r="G242" s="44" t="str">
        <f>'[2]Water Network'!G$983</f>
        <v>£m</v>
      </c>
      <c r="H242" s="142">
        <f xml:space="preserve"> IF(I242 &lt;&gt; "", I242, J242)</f>
        <v>68.095207528341675</v>
      </c>
      <c r="I242" s="709"/>
      <c r="J242" s="47">
        <f>'[2]Water Network'!P$983</f>
        <v>68.095207528341675</v>
      </c>
      <c r="K242" s="119"/>
    </row>
    <row r="243" spans="1:11" s="42" customFormat="1">
      <c r="A243" s="48"/>
      <c r="B243" s="48"/>
      <c r="C243" s="53"/>
      <c r="D243" s="109"/>
      <c r="E243" s="29"/>
      <c r="F243" s="44"/>
      <c r="G243" s="44"/>
      <c r="H243" s="142"/>
      <c r="I243" s="149"/>
      <c r="J243" s="49"/>
      <c r="K243" s="119"/>
    </row>
    <row r="244" spans="1:11" s="42" customFormat="1">
      <c r="A244" s="48"/>
      <c r="B244" s="48"/>
      <c r="C244" s="53"/>
      <c r="D244" s="560" t="str">
        <f>InpC!$F$27</f>
        <v>PR19</v>
      </c>
      <c r="E244" s="31" t="str">
        <f>'[2]Water Network'!E$1112</f>
        <v>Average of RCV post 2020 additions - WN - nominal</v>
      </c>
      <c r="F244" s="31">
        <f>'[2]Water Network'!F$1112</f>
        <v>0</v>
      </c>
      <c r="G244" s="227" t="str">
        <f>'[2]Water Network'!G$1112</f>
        <v>£m</v>
      </c>
      <c r="H244" s="142">
        <f xml:space="preserve"> IF(I244 &lt;&gt; "", I244, J244)</f>
        <v>2596.9859789605562</v>
      </c>
      <c r="I244" s="709"/>
      <c r="J244" s="47">
        <f>'[2]Water Network'!P$1112</f>
        <v>2596.9859789605562</v>
      </c>
      <c r="K244" s="119"/>
    </row>
    <row r="245" spans="1:11" s="42" customFormat="1">
      <c r="A245" s="48"/>
      <c r="B245" s="48"/>
      <c r="C245" s="53"/>
      <c r="D245" s="560" t="str">
        <f>InpC!$F$27</f>
        <v>PR19</v>
      </c>
      <c r="E245" s="119" t="str">
        <f>E237</f>
        <v>WACC real on RCV - CPI(H) bf and additions - WN</v>
      </c>
      <c r="F245" s="119">
        <f>F237</f>
        <v>0</v>
      </c>
      <c r="G245" s="149" t="str">
        <f>G237</f>
        <v>%</v>
      </c>
      <c r="H245" s="575">
        <f xml:space="preserve"> IF(I245 &lt;&gt; "", I245, J245)</f>
        <v>3.3039191176470473E-2</v>
      </c>
      <c r="I245" s="729"/>
      <c r="J245" s="575">
        <f>J237</f>
        <v>3.3039191176470473E-2</v>
      </c>
      <c r="K245" s="119"/>
    </row>
    <row r="246" spans="1:11" s="42" customFormat="1">
      <c r="A246" s="48"/>
      <c r="B246" s="48"/>
      <c r="C246" s="53"/>
      <c r="D246" s="560" t="str">
        <f>InpC!$F$27</f>
        <v>PR19</v>
      </c>
      <c r="E246" s="29" t="str">
        <f>'[2]Water Network'!E$1116</f>
        <v>Return on RCV additions - WN - nominal</v>
      </c>
      <c r="F246" s="29">
        <f>'[2]Water Network'!F$1116</f>
        <v>0</v>
      </c>
      <c r="G246" s="44" t="str">
        <f>'[2]Water Network'!G$1116</f>
        <v>£m</v>
      </c>
      <c r="H246" s="142">
        <f xml:space="preserve"> IF(I246 &lt;&gt; "", I246, J246)</f>
        <v>85.802316241491141</v>
      </c>
      <c r="I246" s="709"/>
      <c r="J246" s="47">
        <f>'[2]Water Network'!P$1116</f>
        <v>85.802316241491141</v>
      </c>
      <c r="K246" s="119"/>
    </row>
    <row r="247" spans="1:11" s="42" customFormat="1">
      <c r="A247" s="48"/>
      <c r="B247" s="48"/>
      <c r="C247" s="53"/>
      <c r="D247" s="565"/>
      <c r="E247" s="31"/>
      <c r="F247" s="227"/>
      <c r="G247" s="227"/>
      <c r="H247" s="142"/>
      <c r="I247" s="201"/>
      <c r="J247" s="67"/>
      <c r="K247" s="119"/>
    </row>
    <row r="248" spans="1:11" s="42" customFormat="1">
      <c r="A248" s="48"/>
      <c r="B248" s="48"/>
      <c r="C248" s="53"/>
      <c r="D248" s="560" t="str">
        <f>InpC!$F$27</f>
        <v>PR19</v>
      </c>
      <c r="E248" s="680" t="str">
        <f>'[2]Water Network'!E$870</f>
        <v>Average of RCV - CPI(H) other adjustments balance - WN - nominal</v>
      </c>
      <c r="F248" s="680">
        <f>'[2]Water Network'!F$870</f>
        <v>0</v>
      </c>
      <c r="G248" s="688" t="str">
        <f>'[2]Water Network'!G$870</f>
        <v>£m</v>
      </c>
      <c r="H248" s="142">
        <f xml:space="preserve"> IF(I248 &lt;&gt; "", I248, J248)</f>
        <v>0</v>
      </c>
      <c r="I248" s="709"/>
      <c r="J248" s="47">
        <f>'[2]Water Network'!P$870</f>
        <v>0</v>
      </c>
      <c r="K248" s="120" t="s">
        <v>619</v>
      </c>
    </row>
    <row r="249" spans="1:11">
      <c r="D249" s="560" t="str">
        <f>InpC!$F$27</f>
        <v>PR19</v>
      </c>
      <c r="E249" s="119" t="str">
        <f>E241</f>
        <v>WACC on RCV - CPI(H) + RPI wedge bf and additions - WN</v>
      </c>
      <c r="F249" s="119">
        <f>F241</f>
        <v>0</v>
      </c>
      <c r="G249" s="149" t="str">
        <f>G241</f>
        <v>%</v>
      </c>
      <c r="H249" s="575">
        <f xml:space="preserve"> IF(I249 &lt;&gt; "", I249, J249)</f>
        <v>2.3009684466019475E-2</v>
      </c>
      <c r="I249" s="729"/>
      <c r="J249" s="575">
        <f>J241</f>
        <v>2.3009684466019475E-2</v>
      </c>
    </row>
    <row r="250" spans="1:11" s="42" customFormat="1">
      <c r="A250" s="48"/>
      <c r="B250" s="48"/>
      <c r="C250" s="53"/>
      <c r="D250" s="560" t="str">
        <f>InpC!$F$27</f>
        <v>PR19</v>
      </c>
      <c r="E250" s="680" t="str">
        <f>'[2]Water Network'!E$874</f>
        <v>Return on RCV - CPI(H) other adjustments - WN - nominal</v>
      </c>
      <c r="F250" s="680">
        <f>'[2]Water Network'!F$874</f>
        <v>0</v>
      </c>
      <c r="G250" s="688" t="str">
        <f>'[2]Water Network'!G$874</f>
        <v>£m</v>
      </c>
      <c r="H250" s="142">
        <f xml:space="preserve"> IF(I250 &lt;&gt; "", I250, J250)</f>
        <v>0</v>
      </c>
      <c r="I250" s="709"/>
      <c r="J250" s="47">
        <f>'[2]Water Network'!P$874</f>
        <v>0</v>
      </c>
      <c r="K250" s="120"/>
    </row>
    <row r="251" spans="1:11" s="42" customFormat="1">
      <c r="A251" s="48"/>
      <c r="B251" s="48"/>
      <c r="C251" s="53"/>
      <c r="D251" s="565"/>
      <c r="E251" s="29"/>
      <c r="F251" s="44"/>
      <c r="G251" s="44"/>
      <c r="H251" s="142"/>
      <c r="I251" s="149"/>
      <c r="J251" s="49"/>
      <c r="K251" s="119"/>
    </row>
    <row r="252" spans="1:11" s="545" customFormat="1" ht="12.75" customHeight="1">
      <c r="A252" s="106"/>
      <c r="B252" s="106"/>
      <c r="C252" s="107" t="s">
        <v>55</v>
      </c>
      <c r="D252" s="165"/>
      <c r="E252" s="109"/>
      <c r="F252" s="108"/>
      <c r="G252" s="108"/>
      <c r="H252" s="142"/>
      <c r="I252" s="109"/>
      <c r="J252" s="109"/>
      <c r="K252" s="109"/>
    </row>
    <row r="253" spans="1:11" s="42" customFormat="1">
      <c r="A253" s="48"/>
      <c r="B253" s="48"/>
      <c r="C253" s="53"/>
      <c r="D253" s="560" t="str">
        <f>InpC!$F$27</f>
        <v>PR19</v>
      </c>
      <c r="E253" s="29" t="str">
        <f>'[2]Wastewater Network'!E$859</f>
        <v>Average of RCV - CPI(H) bf - WWN - nominal</v>
      </c>
      <c r="F253" s="29">
        <f>'[2]Wastewater Network'!F$859</f>
        <v>0</v>
      </c>
      <c r="G253" s="44" t="str">
        <f>'[2]Wastewater Network'!G$859</f>
        <v>£m</v>
      </c>
      <c r="H253" s="142">
        <f xml:space="preserve"> IF(I253 &lt;&gt; "", I253, J253)</f>
        <v>2254.7502001695411</v>
      </c>
      <c r="I253" s="709"/>
      <c r="J253" s="47">
        <f>'[2]Wastewater Network'!P$859</f>
        <v>2254.7502001695411</v>
      </c>
      <c r="K253" s="142"/>
    </row>
    <row r="254" spans="1:11" s="42" customFormat="1">
      <c r="A254" s="48"/>
      <c r="B254" s="48"/>
      <c r="C254" s="53"/>
      <c r="D254" s="560" t="str">
        <f>InpC!$F$27</f>
        <v>PR19</v>
      </c>
      <c r="E254" s="31" t="str">
        <f>'[2]Wastewater Network'!E$852</f>
        <v>WACC real on RCV - CPI(H) bf and additions - WWN</v>
      </c>
      <c r="F254" s="31">
        <f>'[2]Wastewater Network'!F$852</f>
        <v>0</v>
      </c>
      <c r="G254" s="227" t="str">
        <f>'[2]Wastewater Network'!G$852</f>
        <v>%</v>
      </c>
      <c r="H254" s="575">
        <f xml:space="preserve"> IF(I254 &lt;&gt; "", I254, J254)</f>
        <v>3.3039191176470473E-2</v>
      </c>
      <c r="I254" s="729"/>
      <c r="J254" s="67">
        <f>'[2]Wastewater Network'!P$852</f>
        <v>3.3039191176470473E-2</v>
      </c>
      <c r="K254" s="311" t="s">
        <v>355</v>
      </c>
    </row>
    <row r="255" spans="1:11" s="42" customFormat="1">
      <c r="A255" s="48"/>
      <c r="B255" s="48"/>
      <c r="C255" s="53"/>
      <c r="D255" s="560" t="str">
        <f>InpC!$F$27</f>
        <v>PR19</v>
      </c>
      <c r="E255" s="29" t="str">
        <f>'[2]Wastewater Network'!E$863</f>
        <v>Return on RCV - CPI(H) bf - WWN - nominal</v>
      </c>
      <c r="F255" s="29">
        <f>'[2]Wastewater Network'!F$863</f>
        <v>0</v>
      </c>
      <c r="G255" s="44" t="str">
        <f>'[2]Wastewater Network'!G$863</f>
        <v>£m</v>
      </c>
      <c r="H255" s="142">
        <f xml:space="preserve"> IF(I255 &lt;&gt; "", I255, J255)</f>
        <v>74.495122918586532</v>
      </c>
      <c r="I255" s="709"/>
      <c r="J255" s="47">
        <f>'[2]Wastewater Network'!P$863</f>
        <v>74.495122918586532</v>
      </c>
      <c r="K255" s="276"/>
    </row>
    <row r="256" spans="1:11" s="42" customFormat="1">
      <c r="A256" s="48"/>
      <c r="B256" s="48"/>
      <c r="C256" s="53"/>
      <c r="D256" s="109"/>
      <c r="E256" s="109"/>
      <c r="F256" s="108"/>
      <c r="G256" s="108"/>
      <c r="H256" s="142"/>
      <c r="I256" s="108"/>
      <c r="J256" s="109"/>
      <c r="K256" s="276"/>
    </row>
    <row r="257" spans="1:11" s="42" customFormat="1">
      <c r="A257" s="48"/>
      <c r="B257" s="48"/>
      <c r="C257" s="53"/>
      <c r="D257" s="560" t="str">
        <f>InpC!$F$27</f>
        <v>PR19</v>
      </c>
      <c r="E257" s="29" t="str">
        <f>'[2]Wastewater Network'!E$979</f>
        <v>Average of RCV - CPI(H) + RPI wedge bf - WWN - nominal</v>
      </c>
      <c r="F257" s="29">
        <f>'[2]Wastewater Network'!F$979</f>
        <v>0</v>
      </c>
      <c r="G257" s="44" t="str">
        <f>'[2]Wastewater Network'!G$979</f>
        <v>£m</v>
      </c>
      <c r="H257" s="142">
        <f xml:space="preserve"> IF(I257 &lt;&gt; "", I257, J257)</f>
        <v>2387.7011771011762</v>
      </c>
      <c r="I257" s="709"/>
      <c r="J257" s="47">
        <f>'[2]Wastewater Network'!P$979</f>
        <v>2387.7011771011762</v>
      </c>
      <c r="K257" s="276"/>
    </row>
    <row r="258" spans="1:11" s="42" customFormat="1">
      <c r="A258" s="48"/>
      <c r="B258" s="48"/>
      <c r="C258" s="53"/>
      <c r="D258" s="560" t="str">
        <f>InpC!$F$27</f>
        <v>PR19</v>
      </c>
      <c r="E258" s="29" t="str">
        <f>'[2]Wastewater Network'!E$972</f>
        <v>WACC on RCV - CPI(H) + RPI wedge bf and additions - WWN</v>
      </c>
      <c r="F258" s="29">
        <f>'[2]Wastewater Network'!F$972</f>
        <v>0</v>
      </c>
      <c r="G258" s="44" t="str">
        <f>'[2]Wastewater Network'!G$972</f>
        <v>%</v>
      </c>
      <c r="H258" s="575">
        <f xml:space="preserve"> IF(I258 &lt;&gt; "", I258, J258)</f>
        <v>2.3009684466019475E-2</v>
      </c>
      <c r="I258" s="729"/>
      <c r="J258" s="67">
        <f>'[2]Wastewater Network'!P$972</f>
        <v>2.3009684466019475E-2</v>
      </c>
      <c r="K258" s="311" t="s">
        <v>355</v>
      </c>
    </row>
    <row r="259" spans="1:11" s="42" customFormat="1">
      <c r="A259" s="48"/>
      <c r="B259" s="48"/>
      <c r="C259" s="53"/>
      <c r="D259" s="560" t="str">
        <f>InpC!$F$27</f>
        <v>PR19</v>
      </c>
      <c r="E259" s="29" t="str">
        <f>'[2]Wastewater Network'!E$983</f>
        <v>Return on RCV - CPI(H) + RPI wedge bf - WWN - nominal</v>
      </c>
      <c r="F259" s="29">
        <f>'[2]Wastewater Network'!F$983</f>
        <v>0</v>
      </c>
      <c r="G259" s="44" t="str">
        <f>'[2]Wastewater Network'!G$983</f>
        <v>£m</v>
      </c>
      <c r="H259" s="142">
        <f xml:space="preserve"> IF(I259 &lt;&gt; "", I259, J259)</f>
        <v>54.940250684241349</v>
      </c>
      <c r="I259" s="709"/>
      <c r="J259" s="47">
        <f>'[2]Wastewater Network'!P$983</f>
        <v>54.940250684241349</v>
      </c>
      <c r="K259" s="142"/>
    </row>
    <row r="260" spans="1:11" s="42" customFormat="1">
      <c r="A260" s="48"/>
      <c r="B260" s="48"/>
      <c r="C260" s="53"/>
      <c r="D260" s="109"/>
      <c r="E260" s="29"/>
      <c r="F260" s="44"/>
      <c r="G260" s="44"/>
      <c r="H260" s="142"/>
      <c r="I260" s="149"/>
      <c r="J260" s="49"/>
      <c r="K260" s="119"/>
    </row>
    <row r="261" spans="1:11" s="42" customFormat="1">
      <c r="A261" s="48"/>
      <c r="B261" s="48"/>
      <c r="C261" s="53"/>
      <c r="D261" s="560" t="str">
        <f>InpC!$F$27</f>
        <v>PR19</v>
      </c>
      <c r="E261" s="31" t="str">
        <f>'[2]Wastewater Network'!E$1112</f>
        <v>Average of RCV post 2020 additions - WWN - nominal</v>
      </c>
      <c r="F261" s="31">
        <f>'[2]Wastewater Network'!F$1112</f>
        <v>0</v>
      </c>
      <c r="G261" s="227" t="str">
        <f>'[2]Wastewater Network'!G$1112</f>
        <v>£m</v>
      </c>
      <c r="H261" s="142">
        <f xml:space="preserve"> IF(I261 &lt;&gt; "", I261, J261)</f>
        <v>2226.2372661186923</v>
      </c>
      <c r="I261" s="709"/>
      <c r="J261" s="47">
        <f>'[2]Wastewater Network'!P$1112</f>
        <v>2226.2372661186923</v>
      </c>
      <c r="K261" s="119"/>
    </row>
    <row r="262" spans="1:11" s="42" customFormat="1">
      <c r="A262" s="48"/>
      <c r="B262" s="48"/>
      <c r="C262" s="53"/>
      <c r="D262" s="560" t="str">
        <f>InpC!$F$27</f>
        <v>PR19</v>
      </c>
      <c r="E262" s="119" t="str">
        <f>E254</f>
        <v>WACC real on RCV - CPI(H) bf and additions - WWN</v>
      </c>
      <c r="F262" s="119">
        <f>F254</f>
        <v>0</v>
      </c>
      <c r="G262" s="149" t="str">
        <f>G254</f>
        <v>%</v>
      </c>
      <c r="H262" s="575">
        <f xml:space="preserve"> IF(I262 &lt;&gt; "", I262, J262)</f>
        <v>3.3039191176470473E-2</v>
      </c>
      <c r="I262" s="729"/>
      <c r="J262" s="575">
        <f>J254</f>
        <v>3.3039191176470473E-2</v>
      </c>
      <c r="K262" s="119"/>
    </row>
    <row r="263" spans="1:11" s="42" customFormat="1">
      <c r="A263" s="48"/>
      <c r="B263" s="48"/>
      <c r="C263" s="53"/>
      <c r="D263" s="560" t="str">
        <f>InpC!$F$27</f>
        <v>PR19</v>
      </c>
      <c r="E263" s="29" t="str">
        <f>'[2]Wastewater Network'!E$1116</f>
        <v>Return on RCV additions - WWN - nominal</v>
      </c>
      <c r="F263" s="29">
        <f>'[2]Wastewater Network'!F$1116</f>
        <v>0</v>
      </c>
      <c r="G263" s="44" t="str">
        <f>'[2]Wastewater Network'!G$1116</f>
        <v>£m</v>
      </c>
      <c r="H263" s="142">
        <f xml:space="preserve"> IF(I263 &lt;&gt; "", I263, J263)</f>
        <v>73.553078639478443</v>
      </c>
      <c r="I263" s="709"/>
      <c r="J263" s="47">
        <f>'[2]Wastewater Network'!P$1116</f>
        <v>73.553078639478443</v>
      </c>
      <c r="K263" s="142"/>
    </row>
    <row r="264" spans="1:11" s="42" customFormat="1">
      <c r="A264" s="48"/>
      <c r="B264" s="48"/>
      <c r="C264" s="53"/>
      <c r="D264" s="109"/>
      <c r="E264" s="31"/>
      <c r="F264" s="227"/>
      <c r="G264" s="227"/>
      <c r="H264" s="142"/>
      <c r="I264" s="201"/>
      <c r="J264" s="67"/>
      <c r="K264" s="119"/>
    </row>
    <row r="265" spans="1:11" s="42" customFormat="1">
      <c r="A265" s="48"/>
      <c r="B265" s="48"/>
      <c r="C265" s="53"/>
      <c r="D265" s="560" t="str">
        <f>InpC!$F$27</f>
        <v>PR19</v>
      </c>
      <c r="E265" s="680" t="str">
        <f>'[2]Wastewater Network'!E$870</f>
        <v>Average of RCV - CPI(H) other adjustments balance - WWN - nominal</v>
      </c>
      <c r="F265" s="680">
        <f>'[2]Wastewater Network'!F$870</f>
        <v>0</v>
      </c>
      <c r="G265" s="688" t="str">
        <f>'[2]Wastewater Network'!G$870</f>
        <v>£m</v>
      </c>
      <c r="H265" s="142">
        <f xml:space="preserve"> IF(I265 &lt;&gt; "", I265, J265)</f>
        <v>0</v>
      </c>
      <c r="I265" s="709"/>
      <c r="J265" s="47">
        <f>'[2]Wastewater Network'!P$870</f>
        <v>0</v>
      </c>
      <c r="K265" s="120" t="s">
        <v>619</v>
      </c>
    </row>
    <row r="266" spans="1:11" s="42" customFormat="1">
      <c r="A266" s="48"/>
      <c r="B266" s="48"/>
      <c r="C266" s="53"/>
      <c r="D266" s="560" t="str">
        <f>InpC!$F$27</f>
        <v>PR19</v>
      </c>
      <c r="E266" s="119" t="str">
        <f>E258</f>
        <v>WACC on RCV - CPI(H) + RPI wedge bf and additions - WWN</v>
      </c>
      <c r="F266" s="119">
        <f>F258</f>
        <v>0</v>
      </c>
      <c r="G266" s="149" t="str">
        <f>G258</f>
        <v>%</v>
      </c>
      <c r="H266" s="575">
        <f xml:space="preserve"> IF(I266 &lt;&gt; "", I266, J266)</f>
        <v>2.3009684466019475E-2</v>
      </c>
      <c r="I266" s="729"/>
      <c r="J266" s="575">
        <f>J258</f>
        <v>2.3009684466019475E-2</v>
      </c>
      <c r="K266" s="119"/>
    </row>
    <row r="267" spans="1:11" s="42" customFormat="1">
      <c r="A267" s="48"/>
      <c r="B267" s="48"/>
      <c r="C267" s="53"/>
      <c r="D267" s="560" t="str">
        <f>InpC!$F$27</f>
        <v>PR19</v>
      </c>
      <c r="E267" s="680" t="str">
        <f>'[2]Wastewater Network'!E$874</f>
        <v>Return on RCV - CPI(H) other adjustments - WWN - nominal</v>
      </c>
      <c r="F267" s="680">
        <f>'[2]Wastewater Network'!F$874</f>
        <v>0</v>
      </c>
      <c r="G267" s="688" t="str">
        <f>'[2]Wastewater Network'!G$874</f>
        <v>£m</v>
      </c>
      <c r="H267" s="142">
        <f xml:space="preserve"> IF(I267 &lt;&gt; "", I267, J267)</f>
        <v>0</v>
      </c>
      <c r="I267" s="709"/>
      <c r="J267" s="47">
        <f>'[2]Wastewater Network'!P$874</f>
        <v>0</v>
      </c>
      <c r="K267" s="120"/>
    </row>
    <row r="268" spans="1:11" s="42" customFormat="1">
      <c r="A268" s="48"/>
      <c r="B268" s="48"/>
      <c r="C268" s="53"/>
      <c r="D268" s="565"/>
      <c r="E268" s="29"/>
      <c r="F268" s="44"/>
      <c r="G268" s="44"/>
      <c r="H268" s="142"/>
      <c r="I268" s="149"/>
      <c r="J268" s="49"/>
      <c r="K268" s="119"/>
    </row>
    <row r="269" spans="1:11" s="545" customFormat="1" ht="12.75" customHeight="1">
      <c r="A269" s="106"/>
      <c r="B269" s="106"/>
      <c r="C269" s="107" t="s">
        <v>56</v>
      </c>
      <c r="D269" s="165"/>
      <c r="E269" s="109"/>
      <c r="F269" s="108"/>
      <c r="G269" s="108"/>
      <c r="H269" s="142"/>
      <c r="I269" s="108"/>
      <c r="J269" s="109"/>
      <c r="K269" s="109"/>
    </row>
    <row r="270" spans="1:11" s="42" customFormat="1">
      <c r="A270" s="48"/>
      <c r="B270" s="48"/>
      <c r="C270" s="53"/>
      <c r="D270" s="560" t="str">
        <f>InpC!$F$27</f>
        <v>PR19</v>
      </c>
      <c r="E270" s="29" t="str">
        <f>'[2]Bio Resources'!E$859</f>
        <v>Average of RCV - CPI(H) bf - BR - nominal</v>
      </c>
      <c r="F270" s="29">
        <f>'[2]Bio Resources'!F$859</f>
        <v>0</v>
      </c>
      <c r="G270" s="44" t="str">
        <f>'[2]Bio Resources'!G$859</f>
        <v>£m</v>
      </c>
      <c r="H270" s="142">
        <f xml:space="preserve"> IF(I270 &lt;&gt; "", I270, J270)</f>
        <v>702.14839384760921</v>
      </c>
      <c r="I270" s="709"/>
      <c r="J270" s="47">
        <f>'[2]Bio Resources'!P$859</f>
        <v>702.14839384760921</v>
      </c>
      <c r="K270" s="142"/>
    </row>
    <row r="271" spans="1:11" s="42" customFormat="1">
      <c r="A271" s="48"/>
      <c r="B271" s="48"/>
      <c r="C271" s="53"/>
      <c r="D271" s="560" t="str">
        <f>InpC!$F$27</f>
        <v>PR19</v>
      </c>
      <c r="E271" s="31" t="str">
        <f>'[2]Bio Resources'!E$852</f>
        <v>WACC real on RCV - CPI(H) bf and additions - BR</v>
      </c>
      <c r="F271" s="31">
        <f>'[2]Bio Resources'!F$852</f>
        <v>0</v>
      </c>
      <c r="G271" s="227" t="str">
        <f>'[2]Bio Resources'!G$852</f>
        <v>%</v>
      </c>
      <c r="H271" s="575">
        <f xml:space="preserve"> IF(I271 &lt;&gt; "", I271, J271)</f>
        <v>3.3039191176470473E-2</v>
      </c>
      <c r="I271" s="729"/>
      <c r="J271" s="67">
        <f>'[2]Bio Resources'!P$852</f>
        <v>3.3039191176470473E-2</v>
      </c>
      <c r="K271" s="311" t="s">
        <v>355</v>
      </c>
    </row>
    <row r="272" spans="1:11" s="42" customFormat="1">
      <c r="A272" s="48"/>
      <c r="B272" s="48"/>
      <c r="C272" s="53"/>
      <c r="D272" s="560" t="str">
        <f>InpC!$F$27</f>
        <v>PR19</v>
      </c>
      <c r="E272" s="29" t="str">
        <f>'[2]Bio Resources'!E$863</f>
        <v>Return on RCV - CPI(H) bf - BR - nominal</v>
      </c>
      <c r="F272" s="29">
        <f>'[2]Bio Resources'!F$863</f>
        <v>0</v>
      </c>
      <c r="G272" s="44" t="str">
        <f>'[2]Bio Resources'!G$863</f>
        <v>£m</v>
      </c>
      <c r="H272" s="142">
        <f xml:space="preserve"> IF(I272 &lt;&gt; "", I272, J272)</f>
        <v>23.198415018582846</v>
      </c>
      <c r="I272" s="709"/>
      <c r="J272" s="47">
        <f>'[2]Bio Resources'!P$863</f>
        <v>23.198415018582846</v>
      </c>
      <c r="K272" s="276"/>
    </row>
    <row r="273" spans="1:11" s="42" customFormat="1">
      <c r="A273" s="48"/>
      <c r="B273" s="48"/>
      <c r="C273" s="53"/>
      <c r="D273" s="109"/>
      <c r="E273" s="109"/>
      <c r="F273" s="108"/>
      <c r="G273" s="108"/>
      <c r="H273" s="142"/>
      <c r="I273" s="108"/>
      <c r="J273" s="109"/>
      <c r="K273" s="311"/>
    </row>
    <row r="274" spans="1:11" s="42" customFormat="1">
      <c r="A274" s="48"/>
      <c r="B274" s="48"/>
      <c r="C274" s="53"/>
      <c r="D274" s="560" t="str">
        <f>InpC!$F$27</f>
        <v>PR19</v>
      </c>
      <c r="E274" s="29" t="str">
        <f>'[2]Bio Resources'!E$979</f>
        <v>Average of RCV - CPI(H) + RPI wedge bf - BR - nominal</v>
      </c>
      <c r="F274" s="29">
        <f>'[2]Bio Resources'!F$979</f>
        <v>0</v>
      </c>
      <c r="G274" s="44" t="str">
        <f>'[2]Bio Resources'!G$979</f>
        <v>£m</v>
      </c>
      <c r="H274" s="142">
        <f xml:space="preserve"> IF(I274 &lt;&gt; "", I274, J274)</f>
        <v>737.85866815244731</v>
      </c>
      <c r="I274" s="709"/>
      <c r="J274" s="47">
        <f>'[2]Bio Resources'!P$979</f>
        <v>737.85866815244731</v>
      </c>
      <c r="K274" s="276"/>
    </row>
    <row r="275" spans="1:11" s="42" customFormat="1">
      <c r="A275" s="48"/>
      <c r="B275" s="48"/>
      <c r="C275" s="53"/>
      <c r="D275" s="560" t="str">
        <f>InpC!$F$27</f>
        <v>PR19</v>
      </c>
      <c r="E275" s="29" t="str">
        <f>'[2]Bio Resources'!E$972</f>
        <v>WACC on RCV - CPI(H) + RPI wedge bf and additions - BR</v>
      </c>
      <c r="F275" s="29">
        <f>'[2]Bio Resources'!F$972</f>
        <v>0</v>
      </c>
      <c r="G275" s="44" t="str">
        <f>'[2]Bio Resources'!G$972</f>
        <v>%</v>
      </c>
      <c r="H275" s="575">
        <f xml:space="preserve"> IF(I275 &lt;&gt; "", I275, J275)</f>
        <v>2.3009684466019475E-2</v>
      </c>
      <c r="I275" s="729"/>
      <c r="J275" s="67">
        <f>'[2]Bio Resources'!P$972</f>
        <v>2.3009684466019475E-2</v>
      </c>
      <c r="K275" s="311" t="s">
        <v>355</v>
      </c>
    </row>
    <row r="276" spans="1:11" s="42" customFormat="1">
      <c r="A276" s="48"/>
      <c r="B276" s="48"/>
      <c r="C276" s="53"/>
      <c r="D276" s="560" t="str">
        <f>InpC!$F$27</f>
        <v>PR19</v>
      </c>
      <c r="E276" s="29" t="str">
        <f>'[2]Bio Resources'!E$983</f>
        <v>Return on RCV - CPI(H) + RPI wedge bf - BR - nominal</v>
      </c>
      <c r="F276" s="29">
        <f>'[2]Bio Resources'!F$983</f>
        <v>0</v>
      </c>
      <c r="G276" s="44" t="str">
        <f>'[2]Bio Resources'!G$983</f>
        <v>£m</v>
      </c>
      <c r="H276" s="142">
        <f xml:space="preserve"> IF(I276 &lt;&gt; "", I276, J276)</f>
        <v>16.977895134705186</v>
      </c>
      <c r="I276" s="709"/>
      <c r="J276" s="47">
        <f>'[2]Bio Resources'!P$983</f>
        <v>16.977895134705186</v>
      </c>
      <c r="K276" s="142"/>
    </row>
    <row r="277" spans="1:11" s="42" customFormat="1">
      <c r="A277" s="48"/>
      <c r="B277" s="48"/>
      <c r="C277" s="53"/>
      <c r="D277" s="109"/>
      <c r="E277" s="29"/>
      <c r="F277" s="44"/>
      <c r="G277" s="44"/>
      <c r="H277" s="142"/>
      <c r="I277" s="149"/>
      <c r="J277" s="49"/>
      <c r="K277" s="142"/>
    </row>
    <row r="278" spans="1:11" s="42" customFormat="1">
      <c r="A278" s="48"/>
      <c r="B278" s="48"/>
      <c r="C278" s="53"/>
      <c r="D278" s="560" t="str">
        <f>InpC!$F$27</f>
        <v>PR19</v>
      </c>
      <c r="E278" s="31" t="str">
        <f>'[2]Bio Resources'!E$1112</f>
        <v>Average of RCV post 2020 additions - BR - nominal</v>
      </c>
      <c r="F278" s="31">
        <f>'[2]Bio Resources'!F$1112</f>
        <v>0</v>
      </c>
      <c r="G278" s="227" t="str">
        <f>'[2]Bio Resources'!G$1112</f>
        <v>£m</v>
      </c>
      <c r="H278" s="142">
        <f xml:space="preserve"> IF(I278 &lt;&gt; "", I278, J278)</f>
        <v>370.03530470311171</v>
      </c>
      <c r="I278" s="709"/>
      <c r="J278" s="47">
        <f>'[2]Bio Resources'!P$1112</f>
        <v>370.03530470311171</v>
      </c>
      <c r="K278" s="119"/>
    </row>
    <row r="279" spans="1:11" s="42" customFormat="1">
      <c r="A279" s="48"/>
      <c r="B279" s="48"/>
      <c r="C279" s="53"/>
      <c r="D279" s="560" t="str">
        <f>InpC!$F$27</f>
        <v>PR19</v>
      </c>
      <c r="E279" s="119" t="str">
        <f>E271</f>
        <v>WACC real on RCV - CPI(H) bf and additions - BR</v>
      </c>
      <c r="F279" s="119">
        <f>F271</f>
        <v>0</v>
      </c>
      <c r="G279" s="149" t="str">
        <f>G271</f>
        <v>%</v>
      </c>
      <c r="H279" s="575">
        <f xml:space="preserve"> IF(I279 &lt;&gt; "", I279, J279)</f>
        <v>3.3039191176470473E-2</v>
      </c>
      <c r="I279" s="729"/>
      <c r="J279" s="575">
        <f>J271</f>
        <v>3.3039191176470473E-2</v>
      </c>
      <c r="K279" s="119"/>
    </row>
    <row r="280" spans="1:11" s="42" customFormat="1">
      <c r="A280" s="48"/>
      <c r="B280" s="48"/>
      <c r="C280" s="53"/>
      <c r="D280" s="560" t="str">
        <f>InpC!$F$27</f>
        <v>PR19</v>
      </c>
      <c r="E280" s="29" t="str">
        <f>'[2]Bio Resources'!E$1116</f>
        <v>Return on RCV additions - BR - nominal</v>
      </c>
      <c r="F280" s="29">
        <f>'[2]Bio Resources'!F$1116</f>
        <v>0</v>
      </c>
      <c r="G280" s="44" t="str">
        <f>'[2]Bio Resources'!G$1116</f>
        <v>£m</v>
      </c>
      <c r="H280" s="142">
        <f xml:space="preserve"> IF(I280 &lt;&gt; "", I280, J280)</f>
        <v>12.225667174129612</v>
      </c>
      <c r="I280" s="709"/>
      <c r="J280" s="47">
        <f>'[2]Bio Resources'!P$1116</f>
        <v>12.225667174129612</v>
      </c>
      <c r="K280" s="142"/>
    </row>
    <row r="281" spans="1:11" s="42" customFormat="1">
      <c r="A281" s="48"/>
      <c r="B281" s="48"/>
      <c r="C281" s="53"/>
      <c r="D281" s="565"/>
      <c r="E281" s="31"/>
      <c r="F281" s="227"/>
      <c r="G281" s="227"/>
      <c r="H281" s="142"/>
      <c r="I281" s="201"/>
      <c r="J281" s="67"/>
      <c r="K281" s="119"/>
    </row>
    <row r="282" spans="1:11" s="42" customFormat="1">
      <c r="A282" s="48"/>
      <c r="B282" s="48"/>
      <c r="C282" s="53"/>
      <c r="D282" s="560" t="str">
        <f>InpC!$F$27</f>
        <v>PR19</v>
      </c>
      <c r="E282" s="680" t="str">
        <f>'[2]Bio Resources'!E$870</f>
        <v>Average of RCV - CPI(H) other adjustments balance - BR - nominal</v>
      </c>
      <c r="F282" s="680">
        <f>'[2]Bio Resources'!F$870</f>
        <v>0</v>
      </c>
      <c r="G282" s="688" t="str">
        <f>'[2]Bio Resources'!G$870</f>
        <v>£m</v>
      </c>
      <c r="H282" s="142">
        <f xml:space="preserve"> IF(I282 &lt;&gt; "", I282, J282)</f>
        <v>0</v>
      </c>
      <c r="I282" s="709"/>
      <c r="J282" s="47">
        <f>'[2]Bio Resources'!P$870</f>
        <v>0</v>
      </c>
      <c r="K282" s="120" t="s">
        <v>619</v>
      </c>
    </row>
    <row r="283" spans="1:11" s="42" customFormat="1">
      <c r="A283" s="48"/>
      <c r="B283" s="48"/>
      <c r="C283" s="53"/>
      <c r="D283" s="560" t="str">
        <f>InpC!$F$27</f>
        <v>PR19</v>
      </c>
      <c r="E283" s="119" t="str">
        <f>E275</f>
        <v>WACC on RCV - CPI(H) + RPI wedge bf and additions - BR</v>
      </c>
      <c r="F283" s="119">
        <f>F275</f>
        <v>0</v>
      </c>
      <c r="G283" s="149" t="str">
        <f>G275</f>
        <v>%</v>
      </c>
      <c r="H283" s="575">
        <f xml:space="preserve"> IF(I283 &lt;&gt; "", I283, J283)</f>
        <v>2.3009684466019475E-2</v>
      </c>
      <c r="I283" s="729"/>
      <c r="J283" s="575">
        <f>J275</f>
        <v>2.3009684466019475E-2</v>
      </c>
      <c r="K283" s="119"/>
    </row>
    <row r="284" spans="1:11" s="42" customFormat="1">
      <c r="A284" s="48"/>
      <c r="B284" s="48"/>
      <c r="C284" s="53"/>
      <c r="D284" s="560" t="str">
        <f>InpC!$F$27</f>
        <v>PR19</v>
      </c>
      <c r="E284" s="680" t="str">
        <f>'[2]Bio Resources'!E$874</f>
        <v>Return on RCV - CPI(H) other adjustments - BR - nominal</v>
      </c>
      <c r="F284" s="680">
        <f>'[2]Bio Resources'!F$874</f>
        <v>0</v>
      </c>
      <c r="G284" s="688" t="str">
        <f>'[2]Bio Resources'!G$874</f>
        <v>£m</v>
      </c>
      <c r="H284" s="142">
        <f xml:space="preserve"> IF(I284 &lt;&gt; "", I284, J284)</f>
        <v>0</v>
      </c>
      <c r="I284" s="709"/>
      <c r="J284" s="47">
        <f>'[2]Bio Resources'!P$874</f>
        <v>0</v>
      </c>
      <c r="K284" s="120"/>
    </row>
    <row r="285" spans="1:11" s="42" customFormat="1">
      <c r="A285" s="48"/>
      <c r="B285" s="48"/>
      <c r="C285" s="53"/>
      <c r="D285" s="565"/>
      <c r="E285" s="29"/>
      <c r="F285" s="44"/>
      <c r="G285" s="44"/>
      <c r="H285" s="142"/>
      <c r="I285" s="149"/>
      <c r="J285" s="49"/>
      <c r="K285" s="119"/>
    </row>
    <row r="286" spans="1:11">
      <c r="B286" s="11" t="s">
        <v>26</v>
      </c>
      <c r="H286" s="142"/>
    </row>
    <row r="287" spans="1:11">
      <c r="D287" s="596" t="str">
        <f>InpC!$F$26</f>
        <v>PR14</v>
      </c>
      <c r="E287" s="29" t="str">
        <f>'[1]Water Real AR'!E$267 &amp; " - real - water"</f>
        <v>Tax charge - real - water</v>
      </c>
      <c r="F287" s="149"/>
      <c r="G287" s="149" t="s">
        <v>2</v>
      </c>
      <c r="H287" s="142">
        <f xml:space="preserve"> IF(I287 &lt;&gt; "", I287, J287)</f>
        <v>0</v>
      </c>
      <c r="I287" s="709"/>
      <c r="J287" s="49">
        <f>'[1]Water Real AR'!N$267</f>
        <v>0</v>
      </c>
      <c r="K287" s="119" t="s">
        <v>237</v>
      </c>
    </row>
    <row r="288" spans="1:11">
      <c r="D288" s="596" t="str">
        <f>InpC!$F$26</f>
        <v>PR14</v>
      </c>
      <c r="E288" s="29" t="str">
        <f>'[1]Water Real AR'!E$231 &amp; " - real - water"</f>
        <v>Pension deficit repair allowance - real - water</v>
      </c>
      <c r="F288" s="149"/>
      <c r="G288" s="149" t="s">
        <v>2</v>
      </c>
      <c r="H288" s="142">
        <f xml:space="preserve"> IF(I288 &lt;&gt; "", I288, J288)</f>
        <v>9.0660000000000007</v>
      </c>
      <c r="I288" s="709"/>
      <c r="J288" s="49">
        <f>'[1]Water Real AR'!N$231</f>
        <v>9.0660000000000007</v>
      </c>
      <c r="K288" s="119" t="s">
        <v>237</v>
      </c>
    </row>
    <row r="289" spans="1:11">
      <c r="D289" s="596" t="str">
        <f>InpC!$F$26</f>
        <v>PR14</v>
      </c>
      <c r="E289" s="29" t="str">
        <f>'[1]Water Real AR'!E$235 &amp; " - real - water"</f>
        <v>Other income (incl 3rd party income) - real - water</v>
      </c>
      <c r="F289" s="149"/>
      <c r="G289" s="149" t="s">
        <v>2</v>
      </c>
      <c r="H289" s="142">
        <f xml:space="preserve"> IF(I289 &lt;&gt; "", I289, J289)</f>
        <v>-5.8892595750911125</v>
      </c>
      <c r="I289" s="797">
        <f>IF(InpC!$F$66=0,"",J289+H402)</f>
        <v>-5.8892595750911125</v>
      </c>
      <c r="J289" s="49">
        <f>'[1]Water Real AR'!N$235</f>
        <v>-5.5379760053999121</v>
      </c>
      <c r="K289" s="119" t="s">
        <v>236</v>
      </c>
    </row>
    <row r="290" spans="1:11">
      <c r="D290" s="29"/>
      <c r="E290" s="29"/>
      <c r="F290" s="149"/>
      <c r="G290" s="149"/>
      <c r="H290" s="142"/>
      <c r="J290" s="49"/>
    </row>
    <row r="291" spans="1:11">
      <c r="D291" s="596" t="str">
        <f>InpC!$F$26</f>
        <v>PR14</v>
      </c>
      <c r="E291" s="29" t="str">
        <f>'[1]Waste Real AR'!E$267  &amp; " - real - wastewater"</f>
        <v>Tax charge - real - wastewater</v>
      </c>
      <c r="F291" s="149"/>
      <c r="G291" s="149" t="s">
        <v>2</v>
      </c>
      <c r="H291" s="142">
        <f xml:space="preserve"> IF(I291 &lt;&gt; "", I291, J291)</f>
        <v>0</v>
      </c>
      <c r="I291" s="709"/>
      <c r="J291" s="49">
        <f>'[1]Waste Real AR'!N$267</f>
        <v>0</v>
      </c>
      <c r="K291" s="119" t="s">
        <v>237</v>
      </c>
    </row>
    <row r="292" spans="1:11">
      <c r="D292" s="596" t="str">
        <f>InpC!$F$26</f>
        <v>PR14</v>
      </c>
      <c r="E292" s="29" t="str">
        <f>'[1]Waste Real AR'!E$231  &amp; " - real - wastewater"</f>
        <v>Pension deficit repair allowance - real - wastewater</v>
      </c>
      <c r="F292" s="149"/>
      <c r="G292" s="149" t="s">
        <v>2</v>
      </c>
      <c r="H292" s="142">
        <f xml:space="preserve"> IF(I292 &lt;&gt; "", I292, J292)</f>
        <v>8.3350050677115295</v>
      </c>
      <c r="I292" s="709"/>
      <c r="J292" s="49">
        <f>'[1]Waste Real AR'!N$231</f>
        <v>8.3350050677115295</v>
      </c>
      <c r="K292" s="119" t="s">
        <v>237</v>
      </c>
    </row>
    <row r="293" spans="1:11">
      <c r="D293" s="596" t="str">
        <f>InpC!$F$26</f>
        <v>PR14</v>
      </c>
      <c r="E293" s="29" t="str">
        <f>'[1]Waste Real AR'!E$235  &amp; " - real - wastewater"</f>
        <v>Other income (incl 3rd party income) - real - wastewater</v>
      </c>
      <c r="F293" s="149"/>
      <c r="G293" s="149" t="s">
        <v>2</v>
      </c>
      <c r="H293" s="142">
        <f xml:space="preserve"> IF(I293 &lt;&gt; "", I293, J293)</f>
        <v>-11.369813947141559</v>
      </c>
      <c r="I293" s="797">
        <f>IF(InpC!$F$66=0,"",J293+H403)</f>
        <v>-11.369813947141559</v>
      </c>
      <c r="J293" s="49">
        <f>'[1]Waste Real AR'!N$235</f>
        <v>-11.104398823210429</v>
      </c>
      <c r="K293" s="119" t="s">
        <v>236</v>
      </c>
    </row>
    <row r="294" spans="1:11">
      <c r="H294" s="142"/>
    </row>
    <row r="295" spans="1:11" s="42" customFormat="1">
      <c r="A295" s="48"/>
      <c r="B295" s="48"/>
      <c r="C295" s="53"/>
      <c r="D295" s="560" t="str">
        <f>InpC!$F$27</f>
        <v>PR19</v>
      </c>
      <c r="E295" s="29" t="str">
        <f>'[2]Water Resources'!E$112</f>
        <v>Wholesale Water resources service defined benefit pension deficit recovery  per IN13/17 - real</v>
      </c>
      <c r="F295" s="44">
        <f>'[2]Water Resources'!F$112</f>
        <v>0</v>
      </c>
      <c r="G295" s="44" t="str">
        <f>'[2]Water Resources'!G$112</f>
        <v>£m</v>
      </c>
      <c r="H295" s="142">
        <f xml:space="preserve"> IF(I295 &lt;&gt; "", I295, J295)</f>
        <v>0</v>
      </c>
      <c r="I295" s="709"/>
      <c r="J295" s="679">
        <f>'[2]Water Resources'!P$112</f>
        <v>0</v>
      </c>
      <c r="K295" s="119" t="s">
        <v>237</v>
      </c>
    </row>
    <row r="296" spans="1:11" s="42" customFormat="1">
      <c r="A296" s="48"/>
      <c r="B296" s="48"/>
      <c r="C296" s="53"/>
      <c r="D296" s="560" t="str">
        <f>InpC!$F$27</f>
        <v>PR19</v>
      </c>
      <c r="E296" s="29" t="str">
        <f>'[2]Water Resources'!E$52</f>
        <v>Total direct procurement from customers - infrastructure cost - WR - real</v>
      </c>
      <c r="F296" s="44">
        <f>'[2]Water Resources'!F$52</f>
        <v>0</v>
      </c>
      <c r="G296" s="44" t="str">
        <f>'[2]Water Resources'!G$52</f>
        <v>£m</v>
      </c>
      <c r="H296" s="142">
        <f xml:space="preserve"> IF(I296 &lt;&gt; "", I296, J296)</f>
        <v>0</v>
      </c>
      <c r="I296" s="709"/>
      <c r="J296" s="679">
        <f>'[2]Water Resources'!P$52</f>
        <v>0</v>
      </c>
      <c r="K296" s="119" t="s">
        <v>237</v>
      </c>
    </row>
    <row r="297" spans="1:11" s="42" customFormat="1">
      <c r="A297" s="48"/>
      <c r="B297" s="48"/>
      <c r="C297" s="53"/>
      <c r="D297" s="560" t="str">
        <f>InpC!$F$27</f>
        <v>PR19</v>
      </c>
      <c r="E297" s="766" t="str">
        <f>[2]Summary_Calc!E$255</f>
        <v xml:space="preserve">Tax WR - real </v>
      </c>
      <c r="F297" s="766">
        <f>[2]Summary_Calc!F$255</f>
        <v>0</v>
      </c>
      <c r="G297" s="767" t="str">
        <f>[2]Summary_Calc!G$255</f>
        <v>£m</v>
      </c>
      <c r="H297" s="142">
        <f xml:space="preserve"> IF(I297 &lt;&gt; "", I297, J297)</f>
        <v>0</v>
      </c>
      <c r="I297" s="709"/>
      <c r="J297" s="763">
        <f>[2]Summary_Calc!P$255</f>
        <v>0</v>
      </c>
      <c r="K297" s="119" t="s">
        <v>237</v>
      </c>
    </row>
    <row r="298" spans="1:11" s="42" customFormat="1">
      <c r="A298" s="48"/>
      <c r="B298" s="48"/>
      <c r="C298" s="53"/>
      <c r="D298" s="560" t="str">
        <f>InpC!$F$27</f>
        <v>PR19</v>
      </c>
      <c r="E298" s="29" t="str">
        <f>'[2]Water Resources'!E$42</f>
        <v>Third party &amp; principle service revenues - WR - real</v>
      </c>
      <c r="F298" s="44">
        <f>'[2]Water Resources'!F$42</f>
        <v>0</v>
      </c>
      <c r="G298" s="44" t="str">
        <f>'[2]Water Resources'!G$42</f>
        <v>£m</v>
      </c>
      <c r="H298" s="142">
        <f xml:space="preserve"> IF(I298 &lt;&gt; "", I298, J298)</f>
        <v>-3.8460000000000001</v>
      </c>
      <c r="I298" s="709"/>
      <c r="J298" s="679">
        <f>'[2]Water Resources'!P$42</f>
        <v>-3.8460000000000001</v>
      </c>
      <c r="K298" s="119" t="s">
        <v>236</v>
      </c>
    </row>
    <row r="299" spans="1:11" s="42" customFormat="1">
      <c r="A299" s="221"/>
      <c r="B299" s="221"/>
      <c r="C299" s="221"/>
      <c r="D299" s="221"/>
      <c r="E299" s="221"/>
      <c r="F299" s="395"/>
      <c r="G299" s="395"/>
      <c r="H299" s="142"/>
      <c r="I299" s="704"/>
      <c r="J299" s="348"/>
      <c r="K299" s="607"/>
    </row>
    <row r="300" spans="1:11" s="42" customFormat="1">
      <c r="A300" s="48"/>
      <c r="B300" s="48"/>
      <c r="C300" s="53"/>
      <c r="D300" s="560" t="str">
        <f>InpC!$F$27</f>
        <v>PR19</v>
      </c>
      <c r="E300" s="29" t="str">
        <f>'[2]Water Network'!E$112</f>
        <v>Wholesale Water network service defined benefit pension deficit recovery  per IN13/17 - real</v>
      </c>
      <c r="F300" s="44">
        <f>'[2]Water Network'!F$112</f>
        <v>0</v>
      </c>
      <c r="G300" s="44" t="str">
        <f>'[2]Water Network'!G$112</f>
        <v>£m</v>
      </c>
      <c r="H300" s="142">
        <f xml:space="preserve"> IF(I300 &lt;&gt; "", I300, J300)</f>
        <v>0</v>
      </c>
      <c r="I300" s="709"/>
      <c r="J300" s="679">
        <f>'[2]Water Network'!P$112</f>
        <v>0</v>
      </c>
      <c r="K300" s="119" t="s">
        <v>237</v>
      </c>
    </row>
    <row r="301" spans="1:11" s="42" customFormat="1">
      <c r="A301" s="48"/>
      <c r="B301" s="48"/>
      <c r="C301" s="53"/>
      <c r="D301" s="560" t="str">
        <f>InpC!$F$27</f>
        <v>PR19</v>
      </c>
      <c r="E301" s="29" t="str">
        <f>'[2]Water Network'!E$52</f>
        <v>Total direct procurement from customers - infrastructure cost - WN - real</v>
      </c>
      <c r="F301" s="44">
        <f>'[2]Water Network'!F$52</f>
        <v>0</v>
      </c>
      <c r="G301" s="44" t="str">
        <f>'[2]Water Network'!G$52</f>
        <v>£m</v>
      </c>
      <c r="H301" s="142">
        <f xml:space="preserve"> IF(I301 &lt;&gt; "", I301, J301)</f>
        <v>0</v>
      </c>
      <c r="I301" s="709"/>
      <c r="J301" s="679">
        <f>'[2]Water Network'!P$52</f>
        <v>0</v>
      </c>
      <c r="K301" s="119" t="s">
        <v>237</v>
      </c>
    </row>
    <row r="302" spans="1:11" s="42" customFormat="1">
      <c r="A302" s="48"/>
      <c r="B302" s="48"/>
      <c r="C302" s="53"/>
      <c r="D302" s="560" t="str">
        <f>InpC!$F$27</f>
        <v>PR19</v>
      </c>
      <c r="E302" s="766" t="str">
        <f>[2]Summary_Calc!E$445</f>
        <v xml:space="preserve">Tax WN - real </v>
      </c>
      <c r="F302" s="766">
        <f>[2]Summary_Calc!F$445</f>
        <v>0</v>
      </c>
      <c r="G302" s="767" t="str">
        <f>[2]Summary_Calc!G$445</f>
        <v>£m</v>
      </c>
      <c r="H302" s="142">
        <f xml:space="preserve"> IF(I302 &lt;&gt; "", I302, J302)</f>
        <v>0</v>
      </c>
      <c r="I302" s="709"/>
      <c r="J302" s="763">
        <f>[2]Summary_Calc!P$445</f>
        <v>0</v>
      </c>
      <c r="K302" s="119" t="s">
        <v>237</v>
      </c>
    </row>
    <row r="303" spans="1:11" s="42" customFormat="1">
      <c r="A303" s="48"/>
      <c r="B303" s="48"/>
      <c r="C303" s="53"/>
      <c r="D303" s="560" t="str">
        <f>InpC!$F$27</f>
        <v>PR19</v>
      </c>
      <c r="E303" s="29" t="str">
        <f>'[2]Water Network'!E$42</f>
        <v>Third party &amp; principle service revenues - WN - real</v>
      </c>
      <c r="F303" s="44">
        <f>'[2]Water Network'!F$42</f>
        <v>0</v>
      </c>
      <c r="G303" s="44" t="str">
        <f>'[2]Water Network'!G$42</f>
        <v>£m</v>
      </c>
      <c r="H303" s="142">
        <f xml:space="preserve"> IF(I303 &lt;&gt; "", I303, J303)</f>
        <v>-5.0771699485204778</v>
      </c>
      <c r="I303" s="709"/>
      <c r="J303" s="679">
        <f>'[2]Water Network'!P$42</f>
        <v>-5.0771699485204778</v>
      </c>
      <c r="K303" s="119" t="s">
        <v>236</v>
      </c>
    </row>
    <row r="304" spans="1:11" s="42" customFormat="1">
      <c r="A304" s="48"/>
      <c r="B304" s="48"/>
      <c r="C304" s="53"/>
      <c r="D304" s="221"/>
      <c r="E304" s="29"/>
      <c r="F304" s="44"/>
      <c r="G304" s="44"/>
      <c r="H304" s="142"/>
      <c r="I304" s="149"/>
      <c r="J304" s="49"/>
      <c r="K304" s="119"/>
    </row>
    <row r="305" spans="1:11" s="42" customFormat="1">
      <c r="A305" s="48"/>
      <c r="B305" s="48"/>
      <c r="C305" s="53"/>
      <c r="D305" s="560" t="str">
        <f>InpC!$F$27</f>
        <v>PR19</v>
      </c>
      <c r="E305" s="29" t="str">
        <f>'[2]Wastewater Network'!E$112</f>
        <v>Wholesale Wastewater network service defined benefit pension deficit recovery per IN13/17 - real</v>
      </c>
      <c r="F305" s="44">
        <f>'[2]Wastewater Network'!F$112</f>
        <v>0</v>
      </c>
      <c r="G305" s="44" t="str">
        <f>'[2]Wastewater Network'!G$112</f>
        <v>£m</v>
      </c>
      <c r="H305" s="142">
        <f xml:space="preserve"> IF(I305 &lt;&gt; "", I305, J305)</f>
        <v>0</v>
      </c>
      <c r="I305" s="709"/>
      <c r="J305" s="679">
        <f>'[2]Wastewater Network'!P$112</f>
        <v>0</v>
      </c>
      <c r="K305" s="119" t="s">
        <v>237</v>
      </c>
    </row>
    <row r="306" spans="1:11" s="42" customFormat="1">
      <c r="A306" s="48"/>
      <c r="B306" s="48"/>
      <c r="C306" s="53"/>
      <c r="D306" s="560" t="str">
        <f>InpC!$F$27</f>
        <v>PR19</v>
      </c>
      <c r="E306" s="29" t="str">
        <f>'[2]Wastewater Network'!E$52</f>
        <v>Total direct procurement from customers - infrastructure cost - WWN - real</v>
      </c>
      <c r="F306" s="44">
        <f>'[2]Wastewater Network'!F$52</f>
        <v>0</v>
      </c>
      <c r="G306" s="44" t="str">
        <f>'[2]Wastewater Network'!G$52</f>
        <v>£m</v>
      </c>
      <c r="H306" s="142">
        <f xml:space="preserve"> IF(I306 &lt;&gt; "", I306, J306)</f>
        <v>0</v>
      </c>
      <c r="I306" s="709"/>
      <c r="J306" s="679">
        <f>'[2]Wastewater Network'!P$52</f>
        <v>0</v>
      </c>
      <c r="K306" s="119" t="s">
        <v>237</v>
      </c>
    </row>
    <row r="307" spans="1:11" s="42" customFormat="1">
      <c r="A307" s="48"/>
      <c r="B307" s="48"/>
      <c r="C307" s="53"/>
      <c r="D307" s="560" t="str">
        <f>InpC!$F$27</f>
        <v>PR19</v>
      </c>
      <c r="E307" s="766" t="str">
        <f>[2]Summary_Calc!E$673</f>
        <v>Tax WWN - real</v>
      </c>
      <c r="F307" s="766">
        <f>[2]Summary_Calc!F$673</f>
        <v>0</v>
      </c>
      <c r="G307" s="767" t="str">
        <f>[2]Summary_Calc!G$673</f>
        <v>£m</v>
      </c>
      <c r="H307" s="142">
        <f xml:space="preserve"> IF(I307 &lt;&gt; "", I307, J307)</f>
        <v>2.3338537310744352</v>
      </c>
      <c r="I307" s="709"/>
      <c r="J307" s="763">
        <f>[2]Summary_Calc!P$673</f>
        <v>2.3338537310744352</v>
      </c>
      <c r="K307" s="119" t="s">
        <v>237</v>
      </c>
    </row>
    <row r="308" spans="1:11" s="42" customFormat="1">
      <c r="A308" s="48"/>
      <c r="B308" s="48"/>
      <c r="C308" s="53"/>
      <c r="D308" s="560" t="str">
        <f>InpC!$F$27</f>
        <v>PR19</v>
      </c>
      <c r="E308" s="29" t="str">
        <f>'[2]Wastewater Network'!E$42</f>
        <v>Third party &amp; principle service revenues - WWN - real</v>
      </c>
      <c r="F308" s="44">
        <f>'[2]Wastewater Network'!F$42</f>
        <v>0</v>
      </c>
      <c r="G308" s="44" t="str">
        <f>'[2]Wastewater Network'!G$42</f>
        <v>£m</v>
      </c>
      <c r="H308" s="142">
        <f xml:space="preserve"> IF(I308 &lt;&gt; "", I308, J308)</f>
        <v>-10.076956887580588</v>
      </c>
      <c r="I308" s="709"/>
      <c r="J308" s="679">
        <f>'[2]Wastewater Network'!P$42</f>
        <v>-10.076956887580588</v>
      </c>
      <c r="K308" s="119" t="s">
        <v>236</v>
      </c>
    </row>
    <row r="309" spans="1:11" s="42" customFormat="1">
      <c r="A309" s="48"/>
      <c r="B309" s="48"/>
      <c r="C309" s="53"/>
      <c r="D309" s="221"/>
      <c r="E309" s="29"/>
      <c r="F309" s="44"/>
      <c r="G309" s="44"/>
      <c r="H309" s="142"/>
      <c r="I309" s="149"/>
      <c r="J309" s="49"/>
      <c r="K309" s="119"/>
    </row>
    <row r="310" spans="1:11" s="42" customFormat="1">
      <c r="A310" s="48"/>
      <c r="B310" s="48"/>
      <c r="C310" s="53"/>
      <c r="D310" s="560" t="str">
        <f>InpC!$F$27</f>
        <v>PR19</v>
      </c>
      <c r="E310" s="29" t="str">
        <f>'[2]Bio Resources'!E$112</f>
        <v>Wholesale Bio resources service defined benefit pension deficit recovery per IN13/17 - real</v>
      </c>
      <c r="F310" s="44">
        <f>'[2]Bio Resources'!F$112</f>
        <v>0</v>
      </c>
      <c r="G310" s="44" t="str">
        <f>'[2]Bio Resources'!G$112</f>
        <v>£m</v>
      </c>
      <c r="H310" s="142">
        <f xml:space="preserve"> IF(I310 &lt;&gt; "", I310, J310)</f>
        <v>0</v>
      </c>
      <c r="I310" s="709"/>
      <c r="J310" s="679">
        <f>'[2]Bio Resources'!P$112</f>
        <v>0</v>
      </c>
      <c r="K310" s="119" t="s">
        <v>237</v>
      </c>
    </row>
    <row r="311" spans="1:11" s="42" customFormat="1">
      <c r="A311" s="48"/>
      <c r="B311" s="48"/>
      <c r="C311" s="53"/>
      <c r="D311" s="560" t="str">
        <f>InpC!$F$27</f>
        <v>PR19</v>
      </c>
      <c r="E311" s="29" t="str">
        <f>'[2]Bio Resources'!E$52</f>
        <v>Total direct procurement from customers - infrastructure cost - BR - real</v>
      </c>
      <c r="F311" s="44">
        <f>'[2]Bio Resources'!F$52</f>
        <v>0</v>
      </c>
      <c r="G311" s="44" t="str">
        <f>'[2]Bio Resources'!G$52</f>
        <v>£m</v>
      </c>
      <c r="H311" s="142">
        <f xml:space="preserve"> IF(I311 &lt;&gt; "", I311, J311)</f>
        <v>0</v>
      </c>
      <c r="I311" s="709"/>
      <c r="J311" s="679">
        <f>'[2]Bio Resources'!P$52</f>
        <v>0</v>
      </c>
      <c r="K311" s="119" t="s">
        <v>237</v>
      </c>
    </row>
    <row r="312" spans="1:11" s="42" customFormat="1">
      <c r="A312" s="48"/>
      <c r="B312" s="48"/>
      <c r="C312" s="53"/>
      <c r="D312" s="560" t="str">
        <f>InpC!$F$27</f>
        <v>PR19</v>
      </c>
      <c r="E312" s="766" t="str">
        <f>[2]Summary_Calc!E$846</f>
        <v>Tax BR - real</v>
      </c>
      <c r="F312" s="766">
        <f>[2]Summary_Calc!F$846</f>
        <v>0</v>
      </c>
      <c r="G312" s="767" t="str">
        <f>[2]Summary_Calc!G$846</f>
        <v>£m</v>
      </c>
      <c r="H312" s="142">
        <f xml:space="preserve"> IF(I312 &lt;&gt; "", I312, J312)</f>
        <v>5.1686282797765708</v>
      </c>
      <c r="I312" s="709"/>
      <c r="J312" s="763">
        <f>[2]Summary_Calc!P$846</f>
        <v>5.1686282797765708</v>
      </c>
      <c r="K312" s="119" t="s">
        <v>237</v>
      </c>
    </row>
    <row r="313" spans="1:11" s="42" customFormat="1">
      <c r="A313" s="48"/>
      <c r="B313" s="48"/>
      <c r="C313" s="53"/>
      <c r="D313" s="560" t="str">
        <f>InpC!$F$27</f>
        <v>PR19</v>
      </c>
      <c r="E313" s="29" t="str">
        <f>'[2]Bio Resources'!E$42</f>
        <v>Third party &amp; principle service revenues - BR - real</v>
      </c>
      <c r="F313" s="44">
        <f>'[2]Bio Resources'!F$42</f>
        <v>0</v>
      </c>
      <c r="G313" s="44" t="str">
        <f>'[2]Bio Resources'!G$42</f>
        <v>£m</v>
      </c>
      <c r="H313" s="142">
        <f xml:space="preserve"> IF(I313 &lt;&gt; "", I313, J313)</f>
        <v>0</v>
      </c>
      <c r="I313" s="709"/>
      <c r="J313" s="679">
        <f>'[2]Bio Resources'!P$42</f>
        <v>0</v>
      </c>
      <c r="K313" s="119" t="s">
        <v>236</v>
      </c>
    </row>
    <row r="314" spans="1:11" s="42" customFormat="1">
      <c r="A314" s="48"/>
      <c r="B314" s="48"/>
      <c r="C314" s="53"/>
      <c r="D314" s="29"/>
      <c r="E314" s="29"/>
      <c r="F314" s="44"/>
      <c r="G314" s="44"/>
      <c r="H314" s="142"/>
      <c r="I314" s="149"/>
      <c r="J314" s="49"/>
      <c r="K314" s="119"/>
    </row>
    <row r="315" spans="1:11" s="65" customFormat="1" ht="15" customHeight="1">
      <c r="A315" s="15" t="s">
        <v>364</v>
      </c>
      <c r="B315" s="15"/>
      <c r="C315" s="16"/>
      <c r="D315" s="135"/>
      <c r="E315" s="15"/>
      <c r="F315" s="17"/>
      <c r="G315" s="17"/>
      <c r="H315" s="17"/>
      <c r="I315" s="17"/>
      <c r="J315" s="15"/>
      <c r="K315" s="15"/>
    </row>
    <row r="316" spans="1:11">
      <c r="H316" s="142"/>
    </row>
    <row r="317" spans="1:11" s="545" customFormat="1" ht="12.75" customHeight="1">
      <c r="A317" s="106"/>
      <c r="B317" s="106"/>
      <c r="C317" s="107" t="s">
        <v>28</v>
      </c>
      <c r="D317" s="165"/>
      <c r="E317" s="109"/>
      <c r="F317" s="108"/>
      <c r="G317" s="108"/>
      <c r="H317" s="142"/>
      <c r="I317" s="108"/>
      <c r="J317" s="109"/>
      <c r="K317" s="109"/>
    </row>
    <row r="318" spans="1:11">
      <c r="D318" s="596" t="str">
        <f>InpC!$F$26</f>
        <v>PR14</v>
      </c>
      <c r="E318" s="29" t="str">
        <f>'[1]Water Real AR'!E$256 &amp; " - real - Water"</f>
        <v>SIM adjustment (+ or -) - real - Water</v>
      </c>
      <c r="F318" s="149"/>
      <c r="G318" s="149" t="s">
        <v>2</v>
      </c>
      <c r="H318" s="142">
        <f t="shared" ref="H318:H327" si="7" xml:space="preserve"> IF(I318 &lt;&gt; "", I318, J318)</f>
        <v>-8.1810890189019307</v>
      </c>
      <c r="I318" s="709"/>
      <c r="J318" s="49">
        <f>'[1]Water Real AR'!N$256</f>
        <v>-8.1810890189019307</v>
      </c>
    </row>
    <row r="319" spans="1:11">
      <c r="D319" s="596" t="str">
        <f>InpC!$F$26</f>
        <v>PR14</v>
      </c>
      <c r="E319" s="29" t="str">
        <f>'[1]Water Real AR'!E$257 &amp; " - real - Water"</f>
        <v>Opex incentive allowance (+ only) - real - Water</v>
      </c>
      <c r="F319" s="149"/>
      <c r="G319" s="149" t="s">
        <v>2</v>
      </c>
      <c r="H319" s="142">
        <f t="shared" si="7"/>
        <v>0</v>
      </c>
      <c r="I319" s="709"/>
      <c r="J319" s="49">
        <f>'[1]Water Real AR'!N$257</f>
        <v>0</v>
      </c>
    </row>
    <row r="320" spans="1:11">
      <c r="D320" s="596" t="str">
        <f>InpC!$F$26</f>
        <v>PR14</v>
      </c>
      <c r="E320" s="29" t="str">
        <f>'[1]Water Real AR'!E$258 &amp; " - real - Water"</f>
        <v>CIS adjustment (+ or -) - real - Water</v>
      </c>
      <c r="F320" s="149"/>
      <c r="G320" s="149" t="s">
        <v>2</v>
      </c>
      <c r="H320" s="142">
        <f t="shared" si="7"/>
        <v>-3.2288801091953001</v>
      </c>
      <c r="I320" s="709"/>
      <c r="J320" s="49">
        <f>'[1]Water Real AR'!N$258</f>
        <v>-3.2288801091953001</v>
      </c>
    </row>
    <row r="321" spans="1:11">
      <c r="D321" s="596" t="str">
        <f>InpC!$F$26</f>
        <v>PR14</v>
      </c>
      <c r="E321" s="29" t="str">
        <f>'[1]Water Real AR'!E$259 &amp; " - real - Water"</f>
        <v>RCM adjustment (+ or -) - real - Water</v>
      </c>
      <c r="F321" s="149"/>
      <c r="G321" s="149" t="s">
        <v>2</v>
      </c>
      <c r="H321" s="142">
        <f t="shared" si="7"/>
        <v>8.1536207528333104</v>
      </c>
      <c r="I321" s="709"/>
      <c r="J321" s="49">
        <f>'[1]Water Real AR'!N$259</f>
        <v>8.1536207528333104</v>
      </c>
    </row>
    <row r="322" spans="1:11">
      <c r="D322" s="596" t="str">
        <f>InpC!$F$26</f>
        <v>PR14</v>
      </c>
      <c r="E322" s="29" t="str">
        <f>'[1]Water Real AR'!E$260 &amp; " - real - Water"</f>
        <v>Equity injection clawback (- only) - real - Water</v>
      </c>
      <c r="F322" s="149"/>
      <c r="G322" s="149" t="s">
        <v>2</v>
      </c>
      <c r="H322" s="142">
        <f t="shared" si="7"/>
        <v>0</v>
      </c>
      <c r="I322" s="709"/>
      <c r="J322" s="49">
        <f>'[1]Water Real AR'!N$260</f>
        <v>0</v>
      </c>
    </row>
    <row r="323" spans="1:11">
      <c r="D323" s="596" t="str">
        <f>InpC!$F$26</f>
        <v>PR14</v>
      </c>
      <c r="E323" s="29" t="str">
        <f>'[1]Water Real AR'!E$261 &amp; " - real - Water"</f>
        <v>Tax refinancing benefit clawback (- only) - real - Water</v>
      </c>
      <c r="F323" s="149"/>
      <c r="G323" s="149" t="s">
        <v>2</v>
      </c>
      <c r="H323" s="142">
        <f t="shared" si="7"/>
        <v>0</v>
      </c>
      <c r="I323" s="709"/>
      <c r="J323" s="49">
        <f>'[1]Water Real AR'!N$261</f>
        <v>0</v>
      </c>
    </row>
    <row r="324" spans="1:11">
      <c r="D324" s="596" t="str">
        <f>InpC!$F$26</f>
        <v>PR14</v>
      </c>
      <c r="E324" s="29" t="str">
        <f>'[1]Water Real AR'!E$262 &amp; " - real - Water"</f>
        <v>Outcome delivery incentive (+ or -) - real - Water</v>
      </c>
      <c r="F324" s="149"/>
      <c r="G324" s="149" t="s">
        <v>2</v>
      </c>
      <c r="H324" s="142">
        <f t="shared" si="7"/>
        <v>0</v>
      </c>
      <c r="I324" s="709"/>
      <c r="J324" s="49">
        <f>'[1]Water Real AR'!N$262</f>
        <v>0</v>
      </c>
    </row>
    <row r="325" spans="1:11">
      <c r="D325" s="596" t="str">
        <f>InpC!$F$26</f>
        <v>PR14</v>
      </c>
      <c r="E325" s="29" t="str">
        <f>'[1]Water Real AR'!E$263 &amp; " - real - Water"</f>
        <v>Totex menu additional income (+ or -) - real - Water</v>
      </c>
      <c r="F325" s="149"/>
      <c r="G325" s="149" t="s">
        <v>2</v>
      </c>
      <c r="H325" s="142">
        <f t="shared" si="7"/>
        <v>3.8432199580287101</v>
      </c>
      <c r="I325" s="709"/>
      <c r="J325" s="49">
        <f>'[1]Water Real AR'!N$263</f>
        <v>3.8432199580287101</v>
      </c>
    </row>
    <row r="326" spans="1:11">
      <c r="D326" s="596" t="str">
        <f>InpC!$F$26</f>
        <v>PR14</v>
      </c>
      <c r="E326" s="29" t="str">
        <f>'[1]Water Real AR'!E$264 &amp; " - real - Water"</f>
        <v>Other tax adjustments (+ or -) Value Chosen - real - Water</v>
      </c>
      <c r="F326" s="149"/>
      <c r="G326" s="149" t="s">
        <v>2</v>
      </c>
      <c r="H326" s="142">
        <f t="shared" si="7"/>
        <v>0</v>
      </c>
      <c r="I326" s="709"/>
      <c r="J326" s="49">
        <f>'[1]Water Real AR'!N$264</f>
        <v>0</v>
      </c>
    </row>
    <row r="327" spans="1:11">
      <c r="D327" s="596" t="str">
        <f>InpC!$F$26</f>
        <v>PR14</v>
      </c>
      <c r="E327" s="29" t="str">
        <f>'[1]Water Real AR'!E$265 &amp; " - real - Water"</f>
        <v>Other adjustments (+ or -) Value Chosen - real - Water</v>
      </c>
      <c r="F327" s="149"/>
      <c r="G327" s="149" t="s">
        <v>2</v>
      </c>
      <c r="H327" s="142">
        <f t="shared" si="7"/>
        <v>0</v>
      </c>
      <c r="I327" s="709"/>
      <c r="J327" s="49">
        <f>'[1]Water Real AR'!N$265</f>
        <v>0</v>
      </c>
    </row>
    <row r="328" spans="1:11" s="545" customFormat="1" ht="12.75" customHeight="1">
      <c r="A328" s="106"/>
      <c r="B328" s="106"/>
      <c r="C328" s="107"/>
      <c r="D328" s="165"/>
      <c r="E328" s="109"/>
      <c r="F328" s="108"/>
      <c r="G328" s="108"/>
      <c r="H328" s="142"/>
      <c r="I328" s="108"/>
      <c r="J328" s="109"/>
      <c r="K328" s="109"/>
    </row>
    <row r="329" spans="1:11" s="545" customFormat="1" ht="12.75" customHeight="1">
      <c r="A329" s="106"/>
      <c r="B329" s="106"/>
      <c r="C329" s="107" t="s">
        <v>7</v>
      </c>
      <c r="D329" s="165"/>
      <c r="E329" s="109"/>
      <c r="F329" s="108"/>
      <c r="G329" s="108"/>
      <c r="H329" s="142"/>
      <c r="I329" s="108"/>
      <c r="J329" s="109"/>
      <c r="K329" s="109"/>
    </row>
    <row r="330" spans="1:11" s="545" customFormat="1" ht="12.75" customHeight="1">
      <c r="A330" s="106"/>
      <c r="B330" s="106"/>
      <c r="C330" s="107"/>
      <c r="D330" s="596" t="str">
        <f>InpC!$F$26</f>
        <v>PR14</v>
      </c>
      <c r="E330" s="29" t="str">
        <f>'[1]Waste Real AR'!E$256 &amp; " - real - Wastewater"</f>
        <v>SIM adjustment (+ or -) - real - Wastewater</v>
      </c>
      <c r="F330" s="149"/>
      <c r="G330" s="149" t="s">
        <v>2</v>
      </c>
      <c r="H330" s="142">
        <f t="shared" ref="H330:H339" si="8" xml:space="preserve"> IF(I330 &lt;&gt; "", I330, J330)</f>
        <v>-8.6570003306088594</v>
      </c>
      <c r="I330" s="709"/>
      <c r="J330" s="49">
        <f>'[1]Waste Real AR'!N$256</f>
        <v>-8.6570003306088594</v>
      </c>
      <c r="K330" s="109"/>
    </row>
    <row r="331" spans="1:11" s="545" customFormat="1" ht="12.75" customHeight="1">
      <c r="A331" s="106"/>
      <c r="B331" s="106"/>
      <c r="C331" s="107"/>
      <c r="D331" s="596" t="str">
        <f>InpC!$F$26</f>
        <v>PR14</v>
      </c>
      <c r="E331" s="29" t="str">
        <f>'[1]Waste Real AR'!E$257 &amp; " - real - Wastewater"</f>
        <v>Opex incentive allowance (+ only) - real - Wastewater</v>
      </c>
      <c r="F331" s="149"/>
      <c r="G331" s="149" t="s">
        <v>2</v>
      </c>
      <c r="H331" s="142">
        <f t="shared" si="8"/>
        <v>0</v>
      </c>
      <c r="I331" s="709"/>
      <c r="J331" s="49">
        <f>'[1]Waste Real AR'!N$257</f>
        <v>0</v>
      </c>
      <c r="K331" s="109"/>
    </row>
    <row r="332" spans="1:11" s="545" customFormat="1" ht="12.75" customHeight="1">
      <c r="A332" s="106"/>
      <c r="B332" s="106"/>
      <c r="C332" s="107"/>
      <c r="D332" s="596" t="str">
        <f>InpC!$F$26</f>
        <v>PR14</v>
      </c>
      <c r="E332" s="29" t="str">
        <f>'[1]Waste Real AR'!E$258 &amp; " - real - Wastewater"</f>
        <v>CIS adjustment (+ or -) - real - Wastewater</v>
      </c>
      <c r="F332" s="149"/>
      <c r="G332" s="149" t="s">
        <v>2</v>
      </c>
      <c r="H332" s="142">
        <f t="shared" si="8"/>
        <v>-15.504804607264999</v>
      </c>
      <c r="I332" s="709"/>
      <c r="J332" s="49">
        <f>'[1]Waste Real AR'!N$258</f>
        <v>-15.504804607264999</v>
      </c>
      <c r="K332" s="109"/>
    </row>
    <row r="333" spans="1:11" s="545" customFormat="1" ht="12.75" customHeight="1">
      <c r="A333" s="106"/>
      <c r="B333" s="106"/>
      <c r="C333" s="107"/>
      <c r="D333" s="596" t="str">
        <f>InpC!$F$26</f>
        <v>PR14</v>
      </c>
      <c r="E333" s="29" t="str">
        <f>'[1]Waste Real AR'!E$259 &amp; " - real - Wastewater"</f>
        <v>RCM adjustment (+ or -) - real - Wastewater</v>
      </c>
      <c r="F333" s="149"/>
      <c r="G333" s="149" t="s">
        <v>2</v>
      </c>
      <c r="H333" s="142">
        <f t="shared" si="8"/>
        <v>14.734171730493999</v>
      </c>
      <c r="I333" s="709"/>
      <c r="J333" s="49">
        <f>'[1]Waste Real AR'!N$259</f>
        <v>14.734171730493999</v>
      </c>
      <c r="K333" s="109"/>
    </row>
    <row r="334" spans="1:11" s="545" customFormat="1" ht="12.75" customHeight="1">
      <c r="A334" s="106"/>
      <c r="B334" s="106"/>
      <c r="C334" s="107"/>
      <c r="D334" s="596" t="str">
        <f>InpC!$F$26</f>
        <v>PR14</v>
      </c>
      <c r="E334" s="29" t="str">
        <f>'[1]Waste Real AR'!E$260 &amp; " - real - Wastewater"</f>
        <v>Equity injection clawback (- only) - real - Wastewater</v>
      </c>
      <c r="F334" s="149"/>
      <c r="G334" s="149" t="s">
        <v>2</v>
      </c>
      <c r="H334" s="142">
        <f t="shared" si="8"/>
        <v>0</v>
      </c>
      <c r="I334" s="709"/>
      <c r="J334" s="49">
        <f>'[1]Waste Real AR'!N$260</f>
        <v>0</v>
      </c>
      <c r="K334" s="109"/>
    </row>
    <row r="335" spans="1:11" s="545" customFormat="1" ht="12.75" customHeight="1">
      <c r="A335" s="106"/>
      <c r="B335" s="106"/>
      <c r="C335" s="107"/>
      <c r="D335" s="596" t="str">
        <f>InpC!$F$26</f>
        <v>PR14</v>
      </c>
      <c r="E335" s="29" t="str">
        <f>'[1]Waste Real AR'!E$261 &amp; " - real - Wastewater"</f>
        <v>Tax refinancing benefit clawback (- only) - real - Wastewater</v>
      </c>
      <c r="F335" s="149"/>
      <c r="G335" s="149" t="s">
        <v>2</v>
      </c>
      <c r="H335" s="142">
        <f t="shared" si="8"/>
        <v>0</v>
      </c>
      <c r="I335" s="709"/>
      <c r="J335" s="49">
        <f>'[1]Waste Real AR'!N$261</f>
        <v>0</v>
      </c>
      <c r="K335" s="109"/>
    </row>
    <row r="336" spans="1:11" s="545" customFormat="1" ht="12.75" customHeight="1">
      <c r="A336" s="106"/>
      <c r="B336" s="106"/>
      <c r="C336" s="107"/>
      <c r="D336" s="596" t="str">
        <f>InpC!$F$26</f>
        <v>PR14</v>
      </c>
      <c r="E336" s="29" t="str">
        <f>'[1]Waste Real AR'!E$262 &amp; " - real - Wastewater"</f>
        <v>Outcome delivery incentive (+ or -) - real - Wastewater</v>
      </c>
      <c r="F336" s="149"/>
      <c r="G336" s="149" t="s">
        <v>2</v>
      </c>
      <c r="H336" s="142">
        <f t="shared" si="8"/>
        <v>0</v>
      </c>
      <c r="I336" s="709"/>
      <c r="J336" s="49">
        <f>'[1]Waste Real AR'!N$262</f>
        <v>0</v>
      </c>
      <c r="K336" s="109"/>
    </row>
    <row r="337" spans="1:11" s="545" customFormat="1" ht="12.75" customHeight="1">
      <c r="A337" s="106"/>
      <c r="B337" s="106"/>
      <c r="C337" s="107"/>
      <c r="D337" s="596" t="str">
        <f>InpC!$F$26</f>
        <v>PR14</v>
      </c>
      <c r="E337" s="29" t="str">
        <f>'[1]Waste Real AR'!E$263 &amp; " - real - Wastewater"</f>
        <v>Totex menu additional income (+ or -) - real - Wastewater</v>
      </c>
      <c r="F337" s="149"/>
      <c r="G337" s="149" t="s">
        <v>2</v>
      </c>
      <c r="H337" s="142">
        <f t="shared" si="8"/>
        <v>1.4909929953238199</v>
      </c>
      <c r="I337" s="797">
        <f>IF(InpC!$F$64=0,"",H422)</f>
        <v>1.4909929953238199</v>
      </c>
      <c r="J337" s="49">
        <f>'[1]Waste Real AR'!N$263</f>
        <v>1.5953513423549801</v>
      </c>
      <c r="K337" s="109"/>
    </row>
    <row r="338" spans="1:11" s="545" customFormat="1" ht="12.75" customHeight="1">
      <c r="A338" s="106"/>
      <c r="B338" s="106"/>
      <c r="C338" s="107"/>
      <c r="D338" s="596" t="str">
        <f>InpC!$F$26</f>
        <v>PR14</v>
      </c>
      <c r="E338" s="29" t="str">
        <f>'[1]Waste Real AR'!E$264 &amp; " - real - Wastewater"</f>
        <v>Other tax adjustments (+ or -) Value Chosen - real - Wastewater</v>
      </c>
      <c r="F338" s="149"/>
      <c r="G338" s="149" t="s">
        <v>2</v>
      </c>
      <c r="H338" s="142">
        <f t="shared" si="8"/>
        <v>0</v>
      </c>
      <c r="I338" s="709"/>
      <c r="J338" s="49">
        <f>'[1]Waste Real AR'!N$264</f>
        <v>0</v>
      </c>
      <c r="K338" s="109"/>
    </row>
    <row r="339" spans="1:11" s="545" customFormat="1" ht="12.75" customHeight="1">
      <c r="A339" s="106"/>
      <c r="B339" s="106"/>
      <c r="C339" s="107"/>
      <c r="D339" s="596" t="str">
        <f>InpC!$F$26</f>
        <v>PR14</v>
      </c>
      <c r="E339" s="29" t="str">
        <f>'[1]Waste Real AR'!E$265 &amp; " - real - Wastewater"</f>
        <v>Other adjustments (+ or -) Value Chosen - real - Wastewater</v>
      </c>
      <c r="F339" s="149"/>
      <c r="G339" s="149" t="s">
        <v>2</v>
      </c>
      <c r="H339" s="142">
        <f t="shared" si="8"/>
        <v>0</v>
      </c>
      <c r="I339" s="797">
        <f>IF(InpC!$F$64=0,"",H423)</f>
        <v>0</v>
      </c>
      <c r="J339" s="592">
        <f>'[1]Waste Real AR'!N$265</f>
        <v>6.7848038507245398</v>
      </c>
      <c r="K339" s="109"/>
    </row>
    <row r="340" spans="1:11">
      <c r="H340" s="142"/>
    </row>
    <row r="341" spans="1:11" s="545" customFormat="1" ht="12.75" customHeight="1">
      <c r="A341" s="106"/>
      <c r="B341" s="106"/>
      <c r="C341" s="107" t="s">
        <v>28</v>
      </c>
      <c r="D341" s="165"/>
      <c r="F341" s="108"/>
      <c r="G341" s="108"/>
      <c r="H341" s="142"/>
      <c r="I341" s="108"/>
      <c r="J341" s="109"/>
      <c r="K341" s="109"/>
    </row>
    <row r="342" spans="1:11">
      <c r="D342" s="560" t="str">
        <f>InpC!$F$27</f>
        <v>PR19</v>
      </c>
      <c r="E342" s="29" t="str">
        <f>'[2]Water Resources'!E$98</f>
        <v>Water resources - End of Period ODIs (+ or -) Value Chosen - active - real</v>
      </c>
      <c r="F342" s="294">
        <f>'[2]Water Resources'!F$98</f>
        <v>0</v>
      </c>
      <c r="G342" s="294" t="str">
        <f>'[2]Water Resources'!G$98</f>
        <v>£m</v>
      </c>
      <c r="H342" s="142">
        <f t="shared" ref="H342:H355" si="9" xml:space="preserve"> IF(I342 &lt;&gt; "", I342, J342)</f>
        <v>0</v>
      </c>
      <c r="I342" s="709"/>
      <c r="J342" s="294">
        <f>'[2]Water Resources'!P$98</f>
        <v>0</v>
      </c>
    </row>
    <row r="343" spans="1:11">
      <c r="D343" s="560" t="str">
        <f>InpC!$F$27</f>
        <v>PR19</v>
      </c>
      <c r="E343" s="29" t="str">
        <f>'[2]Water Resources'!E$99</f>
        <v>Water resources - In period ODIs (+ or -) Value Chosen - active - real</v>
      </c>
      <c r="F343" s="294">
        <f>'[2]Water Resources'!F$99</f>
        <v>0</v>
      </c>
      <c r="G343" s="294" t="str">
        <f>'[2]Water Resources'!G$99</f>
        <v>£m</v>
      </c>
      <c r="H343" s="142">
        <f t="shared" si="9"/>
        <v>0</v>
      </c>
      <c r="I343" s="709"/>
      <c r="J343" s="294">
        <f>'[2]Water Resources'!P$99</f>
        <v>0</v>
      </c>
    </row>
    <row r="344" spans="1:11">
      <c r="D344" s="560" t="str">
        <f>InpC!$F$27</f>
        <v>PR19</v>
      </c>
      <c r="E344" s="29" t="str">
        <f>'[2]Water Resources'!E$100</f>
        <v>Water resources - Totex (+ or -) Value Chosen - active - adjusted - real</v>
      </c>
      <c r="F344" s="294">
        <f>'[2]Water Resources'!F$100</f>
        <v>0</v>
      </c>
      <c r="G344" s="294" t="str">
        <f>'[2]Water Resources'!G$100</f>
        <v>£m</v>
      </c>
      <c r="H344" s="142">
        <f t="shared" si="9"/>
        <v>0</v>
      </c>
      <c r="I344" s="709"/>
      <c r="J344" s="294">
        <f>'[2]Water Resources'!P$100</f>
        <v>0</v>
      </c>
    </row>
    <row r="345" spans="1:11">
      <c r="D345" s="560" t="str">
        <f>InpC!$F$27</f>
        <v>PR19</v>
      </c>
      <c r="E345" s="29" t="str">
        <f>'[2]Water Resources'!E$101</f>
        <v>Water resources - WRFIM (+ or -) Value Chosen - active - adjusted - real</v>
      </c>
      <c r="F345" s="294">
        <f>'[2]Water Resources'!F$101</f>
        <v>0</v>
      </c>
      <c r="G345" s="294" t="str">
        <f>'[2]Water Resources'!G$101</f>
        <v>£m</v>
      </c>
      <c r="H345" s="142">
        <f t="shared" si="9"/>
        <v>0</v>
      </c>
      <c r="I345" s="709"/>
      <c r="J345" s="294">
        <f>'[2]Water Resources'!P$101</f>
        <v>0</v>
      </c>
    </row>
    <row r="346" spans="1:11">
      <c r="D346" s="560" t="str">
        <f>InpC!$F$27</f>
        <v>PR19</v>
      </c>
      <c r="E346" s="29" t="str">
        <f>'[2]Water Resources'!E$102</f>
        <v>Water resources - Residential retail mechanism (+ or -) Value Chosen - active - real</v>
      </c>
      <c r="F346" s="294">
        <f>'[2]Water Resources'!F$102</f>
        <v>0</v>
      </c>
      <c r="G346" s="294" t="str">
        <f>'[2]Water Resources'!G$102</f>
        <v>£m</v>
      </c>
      <c r="H346" s="142">
        <f t="shared" si="9"/>
        <v>0</v>
      </c>
      <c r="I346" s="709"/>
      <c r="J346" s="294">
        <f>'[2]Water Resources'!P$102</f>
        <v>0</v>
      </c>
    </row>
    <row r="347" spans="1:11">
      <c r="D347" s="560" t="str">
        <f>InpC!$F$27</f>
        <v>PR19</v>
      </c>
      <c r="E347" s="29" t="str">
        <f>'[2]Water Resources'!E$103</f>
        <v>Water resources - Blind year (+ or -) Value Chosen - active - real</v>
      </c>
      <c r="F347" s="294">
        <f>'[2]Water Resources'!F$103</f>
        <v>0</v>
      </c>
      <c r="G347" s="294" t="str">
        <f>'[2]Water Resources'!G$103</f>
        <v>£m</v>
      </c>
      <c r="H347" s="142">
        <f t="shared" si="9"/>
        <v>0</v>
      </c>
      <c r="I347" s="709"/>
      <c r="J347" s="294">
        <f>'[2]Water Resources'!P$103</f>
        <v>0</v>
      </c>
    </row>
    <row r="348" spans="1:11">
      <c r="D348" s="560" t="str">
        <f>InpC!$F$27</f>
        <v>PR19</v>
      </c>
      <c r="E348" s="29" t="str">
        <f>'[2]Water Resources'!E$104</f>
        <v>Water resources - Water trading incentive (+ or -) Value Chosen - active - real</v>
      </c>
      <c r="F348" s="294">
        <f>'[2]Water Resources'!F$104</f>
        <v>0</v>
      </c>
      <c r="G348" s="294" t="str">
        <f>'[2]Water Resources'!G$104</f>
        <v>£m</v>
      </c>
      <c r="H348" s="142">
        <f t="shared" si="9"/>
        <v>0.17571881381591434</v>
      </c>
      <c r="I348" s="709"/>
      <c r="J348" s="294">
        <f>'[2]Water Resources'!P$104</f>
        <v>0.17571881381591434</v>
      </c>
    </row>
    <row r="349" spans="1:11">
      <c r="D349" s="560" t="str">
        <f>InpC!$F$27</f>
        <v>PR19</v>
      </c>
      <c r="E349" s="29" t="str">
        <f>'[2]Water Network'!E$98</f>
        <v>Water network - End of Period ODIs (+ or -) Value Chosen - active - real</v>
      </c>
      <c r="F349" s="294">
        <f>'[2]Water Network'!F$98</f>
        <v>0</v>
      </c>
      <c r="G349" s="294" t="str">
        <f>'[2]Water Network'!G$98</f>
        <v>£m</v>
      </c>
      <c r="H349" s="142">
        <f t="shared" si="9"/>
        <v>-18.439564592388635</v>
      </c>
      <c r="I349" s="709"/>
      <c r="J349" s="294">
        <f>'[2]Water Network'!P$98</f>
        <v>-18.439564592388635</v>
      </c>
    </row>
    <row r="350" spans="1:11">
      <c r="D350" s="560" t="str">
        <f>InpC!$F$27</f>
        <v>PR19</v>
      </c>
      <c r="E350" s="29" t="str">
        <f>'[2]Water Network'!E$99</f>
        <v>Water network - In period ODIs (+ or -) Value Chosen - active - real</v>
      </c>
      <c r="F350" s="294">
        <f>'[2]Water Network'!F$99</f>
        <v>0</v>
      </c>
      <c r="G350" s="294" t="str">
        <f>'[2]Water Network'!G$99</f>
        <v>£m</v>
      </c>
      <c r="H350" s="142">
        <f t="shared" si="9"/>
        <v>0</v>
      </c>
      <c r="I350" s="709"/>
      <c r="J350" s="294">
        <f>'[2]Water Network'!P$99</f>
        <v>0</v>
      </c>
    </row>
    <row r="351" spans="1:11">
      <c r="D351" s="560" t="str">
        <f>InpC!$F$27</f>
        <v>PR19</v>
      </c>
      <c r="E351" s="29" t="str">
        <f>'[2]Water Network'!E$100</f>
        <v>Water network - Totex (+ or -) Value Chosen - active - adjusted - real</v>
      </c>
      <c r="F351" s="294">
        <f>'[2]Water Network'!F$100</f>
        <v>0</v>
      </c>
      <c r="G351" s="294" t="str">
        <f>'[2]Water Network'!G$100</f>
        <v>£m</v>
      </c>
      <c r="H351" s="142">
        <f t="shared" si="9"/>
        <v>-1.2110419851433987</v>
      </c>
      <c r="I351" s="709"/>
      <c r="J351" s="294">
        <f>'[2]Water Network'!P$100</f>
        <v>-1.2110419851433987</v>
      </c>
    </row>
    <row r="352" spans="1:11">
      <c r="D352" s="560" t="str">
        <f>InpC!$F$27</f>
        <v>PR19</v>
      </c>
      <c r="E352" s="29" t="str">
        <f>'[2]Water Network'!E$101</f>
        <v>Water network - WRFIM (+ or -) Value Chosen - active - adjusted - real</v>
      </c>
      <c r="F352" s="294">
        <f>'[2]Water Network'!F$101</f>
        <v>0</v>
      </c>
      <c r="G352" s="294" t="str">
        <f>'[2]Water Network'!G$101</f>
        <v>£m</v>
      </c>
      <c r="H352" s="142">
        <f t="shared" si="9"/>
        <v>19.064803860905339</v>
      </c>
      <c r="I352" s="709"/>
      <c r="J352" s="294">
        <f>'[2]Water Network'!P$101</f>
        <v>19.064803860905339</v>
      </c>
    </row>
    <row r="353" spans="1:11">
      <c r="D353" s="560" t="str">
        <f>InpC!$F$27</f>
        <v>PR19</v>
      </c>
      <c r="E353" s="29" t="str">
        <f>'[2]Water Network'!E$102</f>
        <v>Water network - Residential retail mechanism (+ or -) Value Chosen - active - real</v>
      </c>
      <c r="F353" s="294">
        <f>'[2]Water Network'!F$102</f>
        <v>0</v>
      </c>
      <c r="G353" s="294" t="str">
        <f>'[2]Water Network'!G$102</f>
        <v>£m</v>
      </c>
      <c r="H353" s="142">
        <f t="shared" si="9"/>
        <v>0</v>
      </c>
      <c r="I353" s="709"/>
      <c r="J353" s="294">
        <f>'[2]Water Network'!P$102</f>
        <v>0</v>
      </c>
    </row>
    <row r="354" spans="1:11">
      <c r="D354" s="560" t="str">
        <f>InpC!$F$27</f>
        <v>PR19</v>
      </c>
      <c r="E354" s="29" t="str">
        <f>'[2]Water Network'!E$103</f>
        <v>Water network - Blind year (+ or -) Value Chosen - active - real</v>
      </c>
      <c r="F354" s="294">
        <f>'[2]Water Network'!F$103</f>
        <v>0</v>
      </c>
      <c r="G354" s="294" t="str">
        <f>'[2]Water Network'!G$103</f>
        <v>£m</v>
      </c>
      <c r="H354" s="142">
        <f t="shared" si="9"/>
        <v>-0.29632065056929341</v>
      </c>
      <c r="I354" s="709"/>
      <c r="J354" s="294">
        <f>'[2]Water Network'!P$103</f>
        <v>-0.29632065056929341</v>
      </c>
    </row>
    <row r="355" spans="1:11">
      <c r="D355" s="560" t="str">
        <f>InpC!$F$27</f>
        <v>PR19</v>
      </c>
      <c r="E355" s="29" t="str">
        <f>'[2]Water Network'!E$104</f>
        <v>Water network - Water trading incentive (+ or -) Value Chosen - active - real</v>
      </c>
      <c r="F355" s="294">
        <f>'[2]Water Network'!F$104</f>
        <v>0</v>
      </c>
      <c r="G355" s="294" t="str">
        <f>'[2]Water Network'!G$104</f>
        <v>£m</v>
      </c>
      <c r="H355" s="142">
        <f t="shared" si="9"/>
        <v>0</v>
      </c>
      <c r="I355" s="709"/>
      <c r="J355" s="294">
        <f>'[2]Water Network'!P$104</f>
        <v>0</v>
      </c>
    </row>
    <row r="356" spans="1:11">
      <c r="D356" s="29"/>
      <c r="E356" s="29"/>
      <c r="F356" s="294"/>
      <c r="G356" s="294"/>
      <c r="H356" s="142"/>
      <c r="I356" s="760"/>
      <c r="J356" s="294"/>
    </row>
    <row r="357" spans="1:11" s="545" customFormat="1" ht="12.75" customHeight="1">
      <c r="A357" s="106"/>
      <c r="B357" s="106"/>
      <c r="C357" s="107" t="s">
        <v>7</v>
      </c>
      <c r="D357" s="165"/>
      <c r="E357" s="109"/>
      <c r="F357" s="108"/>
      <c r="G357" s="108"/>
      <c r="H357" s="142"/>
      <c r="I357" s="108"/>
      <c r="J357" s="109"/>
      <c r="K357" s="109"/>
    </row>
    <row r="358" spans="1:11">
      <c r="D358" s="560" t="str">
        <f>InpC!$F$27</f>
        <v>PR19</v>
      </c>
      <c r="E358" s="29" t="str">
        <f>'[2]Wastewater Network'!E$98</f>
        <v>Wastewater network - End of Period ODIs (+ or -) Value Chosen - active - real</v>
      </c>
      <c r="F358" s="294">
        <f>'[2]Wastewater Network'!F$98</f>
        <v>0</v>
      </c>
      <c r="G358" s="294" t="str">
        <f>'[2]Wastewater Network'!G$98</f>
        <v>£m</v>
      </c>
      <c r="H358" s="142">
        <f t="shared" ref="H358:H371" si="10" xml:space="preserve"> IF(I358 &lt;&gt; "", I358, J358)</f>
        <v>-2.8649152430218865</v>
      </c>
      <c r="I358" s="709"/>
      <c r="J358" s="294">
        <f>'[2]Wastewater Network'!P$98</f>
        <v>-2.8649152430218865</v>
      </c>
    </row>
    <row r="359" spans="1:11">
      <c r="D359" s="560" t="str">
        <f>InpC!$F$27</f>
        <v>PR19</v>
      </c>
      <c r="E359" s="29" t="str">
        <f>'[2]Wastewater Network'!E$99</f>
        <v>Wastewater network - In period ODIs (+ or -) Value Chosen - active - real</v>
      </c>
      <c r="F359" s="294">
        <f>'[2]Wastewater Network'!F$99</f>
        <v>0</v>
      </c>
      <c r="G359" s="294" t="str">
        <f>'[2]Wastewater Network'!G$99</f>
        <v>£m</v>
      </c>
      <c r="H359" s="142">
        <f t="shared" si="10"/>
        <v>0</v>
      </c>
      <c r="I359" s="709"/>
      <c r="J359" s="294">
        <f>'[2]Wastewater Network'!P$99</f>
        <v>0</v>
      </c>
    </row>
    <row r="360" spans="1:11">
      <c r="D360" s="560" t="str">
        <f>InpC!$F$27</f>
        <v>PR19</v>
      </c>
      <c r="E360" s="29" t="str">
        <f>'[2]Wastewater Network'!E$100</f>
        <v>Wastewater network - Totex (+ or -) Value Chosen - active - adjusted - real</v>
      </c>
      <c r="F360" s="294">
        <f>'[2]Wastewater Network'!F$100</f>
        <v>0</v>
      </c>
      <c r="G360" s="294" t="str">
        <f>'[2]Wastewater Network'!G$100</f>
        <v>£m</v>
      </c>
      <c r="H360" s="142">
        <f t="shared" si="10"/>
        <v>-0.44728498741093464</v>
      </c>
      <c r="I360" s="709"/>
      <c r="J360" s="294">
        <f>'[2]Wastewater Network'!P$100</f>
        <v>-0.44728498741093464</v>
      </c>
    </row>
    <row r="361" spans="1:11">
      <c r="D361" s="560" t="str">
        <f>InpC!$F$27</f>
        <v>PR19</v>
      </c>
      <c r="E361" s="29" t="str">
        <f>'[2]Wastewater Network'!E$101</f>
        <v>Wastewater network - WRFIM (+ or -) Value Chosen - active - adjusted - real</v>
      </c>
      <c r="F361" s="294">
        <f>'[2]Wastewater Network'!F$101</f>
        <v>0</v>
      </c>
      <c r="G361" s="294" t="str">
        <f>'[2]Wastewater Network'!G$101</f>
        <v>£m</v>
      </c>
      <c r="H361" s="142">
        <f t="shared" si="10"/>
        <v>10.734205248829692</v>
      </c>
      <c r="I361" s="709"/>
      <c r="J361" s="294">
        <f>'[2]Wastewater Network'!P$101</f>
        <v>10.734205248829692</v>
      </c>
    </row>
    <row r="362" spans="1:11">
      <c r="D362" s="560" t="str">
        <f>InpC!$F$27</f>
        <v>PR19</v>
      </c>
      <c r="E362" s="29" t="str">
        <f>'[2]Wastewater Network'!E$102</f>
        <v>Wastewater network - Residential retail mechanism (+ or -) Value Chosen - active - real</v>
      </c>
      <c r="F362" s="294">
        <f>'[2]Wastewater Network'!F$102</f>
        <v>0</v>
      </c>
      <c r="G362" s="294" t="str">
        <f>'[2]Wastewater Network'!G$102</f>
        <v>£m</v>
      </c>
      <c r="H362" s="142">
        <f t="shared" si="10"/>
        <v>0</v>
      </c>
      <c r="I362" s="709"/>
      <c r="J362" s="294">
        <f>'[2]Wastewater Network'!P$102</f>
        <v>0</v>
      </c>
    </row>
    <row r="363" spans="1:11">
      <c r="D363" s="560" t="str">
        <f>InpC!$F$27</f>
        <v>PR19</v>
      </c>
      <c r="E363" s="29" t="str">
        <f>'[2]Wastewater Network'!E$103</f>
        <v>Wastewater network - Blind year (+ or -) Value Chosen - active - real</v>
      </c>
      <c r="F363" s="294">
        <f>'[2]Wastewater Network'!F$103</f>
        <v>0</v>
      </c>
      <c r="G363" s="294" t="str">
        <f>'[2]Wastewater Network'!G$103</f>
        <v>£m</v>
      </c>
      <c r="H363" s="142">
        <f t="shared" si="10"/>
        <v>-5.5435591561383202</v>
      </c>
      <c r="I363" s="709"/>
      <c r="J363" s="294">
        <f>'[2]Wastewater Network'!P$103</f>
        <v>-5.5435591561383202</v>
      </c>
    </row>
    <row r="364" spans="1:11">
      <c r="D364" s="560" t="str">
        <f>InpC!$F$27</f>
        <v>PR19</v>
      </c>
      <c r="E364" s="29" t="str">
        <f>'[2]Wastewater Network'!E$104</f>
        <v>Wastewater network - Water trading incentive (+ or -) Value Chosen - active - real</v>
      </c>
      <c r="F364" s="294">
        <f>'[2]Wastewater Network'!F$104</f>
        <v>0</v>
      </c>
      <c r="G364" s="294" t="str">
        <f>'[2]Wastewater Network'!G$104</f>
        <v>£m</v>
      </c>
      <c r="H364" s="142">
        <f t="shared" si="10"/>
        <v>0</v>
      </c>
      <c r="I364" s="709"/>
      <c r="J364" s="294">
        <f>'[2]Wastewater Network'!P$104</f>
        <v>0</v>
      </c>
    </row>
    <row r="365" spans="1:11">
      <c r="D365" s="560" t="str">
        <f>InpC!$F$27</f>
        <v>PR19</v>
      </c>
      <c r="E365" s="29" t="str">
        <f>'[2]Bio Resources'!E$98</f>
        <v>Bio resources - End of Period ODIs (+ or -) Value Chosen - active - real</v>
      </c>
      <c r="F365" s="294">
        <f>'[2]Bio Resources'!F$98</f>
        <v>0</v>
      </c>
      <c r="G365" s="294" t="str">
        <f>'[2]Bio Resources'!G$98</f>
        <v>£m</v>
      </c>
      <c r="H365" s="142">
        <f t="shared" si="10"/>
        <v>0</v>
      </c>
      <c r="I365" s="709"/>
      <c r="J365" s="294">
        <f>'[2]Bio Resources'!P$98</f>
        <v>0</v>
      </c>
    </row>
    <row r="366" spans="1:11">
      <c r="D366" s="560" t="str">
        <f>InpC!$F$27</f>
        <v>PR19</v>
      </c>
      <c r="E366" s="29" t="str">
        <f>'[2]Bio Resources'!E$99</f>
        <v>Bio resources - In period ODIs (+ or -) Value Chosen - active - real</v>
      </c>
      <c r="F366" s="294">
        <f>'[2]Bio Resources'!F$99</f>
        <v>0</v>
      </c>
      <c r="G366" s="294" t="str">
        <f>'[2]Bio Resources'!G$99</f>
        <v>£m</v>
      </c>
      <c r="H366" s="142">
        <f t="shared" si="10"/>
        <v>0</v>
      </c>
      <c r="I366" s="709"/>
      <c r="J366" s="294">
        <f>'[2]Bio Resources'!P$99</f>
        <v>0</v>
      </c>
    </row>
    <row r="367" spans="1:11">
      <c r="D367" s="560" t="str">
        <f>InpC!$F$27</f>
        <v>PR19</v>
      </c>
      <c r="E367" s="29" t="str">
        <f>'[2]Bio Resources'!E$100</f>
        <v>Bio resources - Totex (+ or -) Value Chosen - active - adjusted - real</v>
      </c>
      <c r="F367" s="294">
        <f>'[2]Bio Resources'!F$100</f>
        <v>0</v>
      </c>
      <c r="G367" s="294" t="str">
        <f>'[2]Bio Resources'!G$100</f>
        <v>£m</v>
      </c>
      <c r="H367" s="142">
        <f t="shared" si="10"/>
        <v>0</v>
      </c>
      <c r="I367" s="709"/>
      <c r="J367" s="294">
        <f>'[2]Bio Resources'!P$100</f>
        <v>0</v>
      </c>
    </row>
    <row r="368" spans="1:11">
      <c r="D368" s="560" t="str">
        <f>InpC!$F$27</f>
        <v>PR19</v>
      </c>
      <c r="E368" s="29" t="str">
        <f>'[2]Bio Resources'!E$101</f>
        <v>Bio resources - WRFIM (+ or -) Value Chosen - active - adjusted - real</v>
      </c>
      <c r="F368" s="294">
        <f>'[2]Bio Resources'!F$101</f>
        <v>0</v>
      </c>
      <c r="G368" s="294" t="str">
        <f>'[2]Bio Resources'!G$101</f>
        <v>£m</v>
      </c>
      <c r="H368" s="142">
        <f t="shared" si="10"/>
        <v>0</v>
      </c>
      <c r="I368" s="709"/>
      <c r="J368" s="294">
        <f>'[2]Bio Resources'!P$101</f>
        <v>0</v>
      </c>
    </row>
    <row r="369" spans="1:11">
      <c r="D369" s="560" t="str">
        <f>InpC!$F$27</f>
        <v>PR19</v>
      </c>
      <c r="E369" s="29" t="str">
        <f>'[2]Bio Resources'!E$102</f>
        <v>Bio resources - Residential retail mechanism (+ or -) Value Chosen - active - real</v>
      </c>
      <c r="F369" s="294">
        <f>'[2]Bio Resources'!F$102</f>
        <v>0</v>
      </c>
      <c r="G369" s="294" t="str">
        <f>'[2]Bio Resources'!G$102</f>
        <v>£m</v>
      </c>
      <c r="H369" s="142">
        <f t="shared" si="10"/>
        <v>0</v>
      </c>
      <c r="I369" s="709"/>
      <c r="J369" s="294">
        <f>'[2]Bio Resources'!P$102</f>
        <v>0</v>
      </c>
    </row>
    <row r="370" spans="1:11">
      <c r="D370" s="560" t="str">
        <f>InpC!$F$27</f>
        <v>PR19</v>
      </c>
      <c r="E370" s="29" t="str">
        <f>'[2]Bio Resources'!E$103</f>
        <v>Bio resources - Blind year (+ or -) Value Chosen - active - real</v>
      </c>
      <c r="F370" s="294">
        <f>'[2]Bio Resources'!F$103</f>
        <v>0</v>
      </c>
      <c r="G370" s="294" t="str">
        <f>'[2]Bio Resources'!G$103</f>
        <v>£m</v>
      </c>
      <c r="H370" s="142">
        <f t="shared" si="10"/>
        <v>0</v>
      </c>
      <c r="I370" s="709"/>
      <c r="J370" s="294">
        <f>'[2]Bio Resources'!P$103</f>
        <v>0</v>
      </c>
    </row>
    <row r="371" spans="1:11">
      <c r="D371" s="560" t="str">
        <f>InpC!$F$27</f>
        <v>PR19</v>
      </c>
      <c r="E371" s="29" t="str">
        <f>'[2]Bio Resources'!E$104</f>
        <v>Bio resources - Water trading incentive (+ or -) Value Chosen - active - real</v>
      </c>
      <c r="F371" s="294">
        <f>'[2]Bio Resources'!F$104</f>
        <v>0</v>
      </c>
      <c r="G371" s="294" t="str">
        <f>'[2]Bio Resources'!G$104</f>
        <v>£m</v>
      </c>
      <c r="H371" s="142">
        <f t="shared" si="10"/>
        <v>0</v>
      </c>
      <c r="I371" s="709"/>
      <c r="J371" s="294">
        <f>'[2]Bio Resources'!P$104</f>
        <v>0</v>
      </c>
    </row>
    <row r="372" spans="1:11">
      <c r="A372" s="25"/>
      <c r="B372" s="34"/>
      <c r="C372" s="26"/>
      <c r="D372" s="171"/>
      <c r="E372" s="27"/>
      <c r="F372" s="279"/>
      <c r="G372" s="279"/>
      <c r="H372" s="606"/>
      <c r="I372" s="280"/>
      <c r="J372" s="27"/>
      <c r="K372" s="606"/>
    </row>
    <row r="373" spans="1:11" s="75" customFormat="1">
      <c r="A373" s="38" t="s">
        <v>6</v>
      </c>
      <c r="B373" s="38"/>
      <c r="C373" s="39"/>
      <c r="D373" s="172"/>
      <c r="E373" s="39"/>
      <c r="F373" s="133"/>
      <c r="G373" s="153"/>
      <c r="H373" s="501"/>
      <c r="I373" s="705"/>
      <c r="J373" s="38"/>
      <c r="K373" s="501"/>
    </row>
    <row r="378" spans="1:11">
      <c r="D378" s="168" t="s">
        <v>681</v>
      </c>
      <c r="E378" s="119"/>
      <c r="F378" s="149"/>
      <c r="G378" s="149"/>
      <c r="J378" s="119"/>
    </row>
    <row r="379" spans="1:11">
      <c r="D379" s="158" t="s">
        <v>682</v>
      </c>
      <c r="E379" s="119"/>
      <c r="F379" s="149"/>
      <c r="G379" s="149"/>
      <c r="J379" s="119"/>
    </row>
    <row r="380" spans="1:11">
      <c r="E380" s="119" t="s">
        <v>683</v>
      </c>
      <c r="F380" s="149"/>
      <c r="G380" s="149"/>
      <c r="H380" s="709">
        <v>158.25979974834453</v>
      </c>
      <c r="J380" s="119"/>
      <c r="K380" s="119" t="s">
        <v>684</v>
      </c>
    </row>
    <row r="381" spans="1:11">
      <c r="E381" s="119" t="s">
        <v>685</v>
      </c>
      <c r="F381" s="149"/>
      <c r="G381" s="149"/>
      <c r="H381" s="709">
        <v>27.091142525470477</v>
      </c>
      <c r="J381" s="119"/>
      <c r="K381" s="119" t="s">
        <v>686</v>
      </c>
    </row>
    <row r="382" spans="1:11">
      <c r="E382" s="119" t="s">
        <v>687</v>
      </c>
      <c r="F382" s="149"/>
      <c r="G382" s="149"/>
      <c r="H382" s="771">
        <f>SUM(H380:H381)</f>
        <v>185.35094227381501</v>
      </c>
      <c r="J382" s="119"/>
    </row>
    <row r="383" spans="1:11">
      <c r="E383" s="119" t="s">
        <v>376</v>
      </c>
      <c r="F383" s="149"/>
      <c r="G383" s="149"/>
      <c r="H383" s="119">
        <f>H382-H11</f>
        <v>0</v>
      </c>
      <c r="J383" s="119"/>
    </row>
    <row r="384" spans="1:11">
      <c r="E384" s="119"/>
      <c r="F384" s="149"/>
      <c r="G384" s="149"/>
      <c r="J384" s="119"/>
    </row>
    <row r="385" spans="4:11">
      <c r="D385" s="158" t="s">
        <v>688</v>
      </c>
      <c r="E385" s="119"/>
      <c r="F385" s="149"/>
      <c r="G385" s="149"/>
      <c r="J385" s="119"/>
    </row>
    <row r="386" spans="4:11">
      <c r="E386" s="119" t="s">
        <v>683</v>
      </c>
      <c r="F386" s="149"/>
      <c r="G386" s="149"/>
      <c r="H386" s="709">
        <v>125.4952338044362</v>
      </c>
      <c r="J386" s="119"/>
      <c r="K386" s="119" t="s">
        <v>684</v>
      </c>
    </row>
    <row r="387" spans="4:11">
      <c r="E387" s="119" t="s">
        <v>685</v>
      </c>
      <c r="F387" s="149"/>
      <c r="G387" s="149"/>
      <c r="H387" s="709">
        <v>26.748951049764862</v>
      </c>
      <c r="J387" s="119"/>
      <c r="K387" s="119" t="s">
        <v>686</v>
      </c>
    </row>
    <row r="388" spans="4:11">
      <c r="E388" s="119" t="s">
        <v>687</v>
      </c>
      <c r="F388" s="149"/>
      <c r="G388" s="149"/>
      <c r="H388" s="771">
        <f>SUM(H386:H387)</f>
        <v>152.24418485420105</v>
      </c>
      <c r="J388" s="119"/>
    </row>
    <row r="389" spans="4:11">
      <c r="E389" s="119"/>
      <c r="F389" s="149"/>
      <c r="G389" s="149"/>
      <c r="J389" s="119"/>
    </row>
    <row r="390" spans="4:11">
      <c r="D390" s="158" t="s">
        <v>689</v>
      </c>
      <c r="E390" s="119"/>
      <c r="F390" s="149"/>
      <c r="G390" s="149"/>
      <c r="J390" s="119"/>
    </row>
    <row r="391" spans="4:11">
      <c r="E391" s="119" t="s">
        <v>683</v>
      </c>
      <c r="F391" s="149"/>
      <c r="G391" s="149"/>
      <c r="H391" s="771">
        <f>H380-H386</f>
        <v>32.764565943908337</v>
      </c>
      <c r="J391" s="119"/>
      <c r="K391" s="119" t="s">
        <v>690</v>
      </c>
    </row>
    <row r="392" spans="4:11">
      <c r="E392" s="119" t="s">
        <v>685</v>
      </c>
      <c r="F392" s="149"/>
      <c r="G392" s="149"/>
      <c r="H392" s="771">
        <f>H381-H387</f>
        <v>0.34219147570561503</v>
      </c>
      <c r="J392" s="119"/>
      <c r="K392" s="119" t="s">
        <v>691</v>
      </c>
    </row>
    <row r="393" spans="4:11">
      <c r="E393" s="119" t="s">
        <v>687</v>
      </c>
      <c r="F393" s="149"/>
      <c r="G393" s="149"/>
      <c r="H393" s="771">
        <f>SUM(H391:H392)</f>
        <v>33.106757419613956</v>
      </c>
      <c r="J393" s="119"/>
    </row>
    <row r="394" spans="4:11">
      <c r="E394" s="119"/>
      <c r="F394" s="149"/>
      <c r="G394" s="149"/>
      <c r="J394" s="119"/>
    </row>
    <row r="395" spans="4:11">
      <c r="E395" s="119" t="str">
        <f>InpC!E55</f>
        <v>Adjustment from 2012/13 year average RPI to 2017/18 year average CPIH deflated</v>
      </c>
      <c r="F395" s="149"/>
      <c r="G395" s="149"/>
      <c r="H395" s="724">
        <f>InpC!F55</f>
        <v>1.1497410673850219</v>
      </c>
      <c r="J395" s="119"/>
    </row>
    <row r="396" spans="4:11">
      <c r="E396" s="119"/>
      <c r="F396" s="149"/>
      <c r="G396" s="149"/>
      <c r="J396" s="119"/>
    </row>
    <row r="397" spans="4:11">
      <c r="E397" s="119" t="s">
        <v>692</v>
      </c>
      <c r="F397" s="149"/>
      <c r="G397" s="149"/>
      <c r="H397" s="771">
        <f>H391*H395</f>
        <v>37.670767020756109</v>
      </c>
      <c r="J397" s="119"/>
    </row>
    <row r="398" spans="4:11">
      <c r="E398" s="773" t="s">
        <v>693</v>
      </c>
      <c r="F398" s="774"/>
      <c r="G398" s="774"/>
      <c r="H398" s="775">
        <f>Customers!H162</f>
        <v>-2.3128440152631313</v>
      </c>
      <c r="J398" s="119"/>
    </row>
    <row r="399" spans="4:11">
      <c r="E399" s="119" t="s">
        <v>694</v>
      </c>
      <c r="F399" s="149"/>
      <c r="G399" s="149"/>
      <c r="H399" s="771">
        <f>SUM(H397:H398)</f>
        <v>35.357923005492978</v>
      </c>
      <c r="J399" s="119"/>
    </row>
    <row r="400" spans="4:11">
      <c r="E400" s="119"/>
      <c r="F400" s="149"/>
      <c r="G400" s="149"/>
      <c r="J400" s="119"/>
    </row>
    <row r="401" spans="4:11">
      <c r="D401" s="168" t="s">
        <v>695</v>
      </c>
      <c r="E401" s="119"/>
      <c r="F401" s="149"/>
      <c r="G401" s="149"/>
      <c r="J401" s="119"/>
    </row>
    <row r="402" spans="4:11">
      <c r="E402" s="119" t="s">
        <v>28</v>
      </c>
      <c r="F402" s="149"/>
      <c r="G402" s="149"/>
      <c r="H402" s="709">
        <f>'[3]Water Real AR'!N$234</f>
        <v>-0.35128356969120045</v>
      </c>
      <c r="J402" s="119"/>
      <c r="K402" s="119" t="s">
        <v>696</v>
      </c>
    </row>
    <row r="403" spans="4:11">
      <c r="E403" s="119" t="s">
        <v>7</v>
      </c>
      <c r="F403" s="149"/>
      <c r="G403" s="149"/>
      <c r="H403" s="709">
        <f>'[3]Waste Real AR'!N$234</f>
        <v>-0.2654151239311302</v>
      </c>
      <c r="J403" s="119"/>
      <c r="K403" s="119" t="s">
        <v>696</v>
      </c>
    </row>
    <row r="404" spans="4:11">
      <c r="E404" s="119"/>
      <c r="F404" s="149"/>
      <c r="G404" s="149"/>
      <c r="J404" s="119"/>
    </row>
    <row r="405" spans="4:11">
      <c r="E405" s="119"/>
      <c r="F405" s="149"/>
      <c r="G405" s="149"/>
      <c r="J405" s="119"/>
    </row>
    <row r="406" spans="4:11">
      <c r="E406" s="119"/>
      <c r="F406" s="149"/>
      <c r="G406" s="149"/>
      <c r="J406" s="119"/>
    </row>
    <row r="407" spans="4:11">
      <c r="E407" s="119"/>
      <c r="F407" s="149"/>
      <c r="G407" s="149"/>
      <c r="J407" s="119"/>
    </row>
    <row r="408" spans="4:11">
      <c r="D408" s="168" t="s">
        <v>697</v>
      </c>
      <c r="E408" s="119"/>
      <c r="F408" s="149"/>
      <c r="G408" s="149"/>
      <c r="J408" s="119"/>
    </row>
    <row r="409" spans="4:11">
      <c r="E409" s="119" t="s">
        <v>698</v>
      </c>
      <c r="F409" s="149"/>
      <c r="G409" s="149"/>
      <c r="H409" s="709">
        <v>615.22963559942889</v>
      </c>
      <c r="J409" s="119"/>
    </row>
    <row r="410" spans="4:11">
      <c r="E410" s="119" t="s">
        <v>699</v>
      </c>
      <c r="F410" s="149"/>
      <c r="G410" s="149"/>
      <c r="H410" s="709">
        <v>4451.3332825968509</v>
      </c>
      <c r="J410" s="119"/>
    </row>
    <row r="411" spans="4:11">
      <c r="E411" s="119" t="s">
        <v>700</v>
      </c>
      <c r="F411" s="149"/>
      <c r="G411" s="149"/>
      <c r="H411" s="709">
        <v>-238.25185120424146</v>
      </c>
      <c r="J411" s="119"/>
    </row>
    <row r="412" spans="4:11">
      <c r="E412" s="119" t="s">
        <v>701</v>
      </c>
      <c r="F412" s="149"/>
      <c r="G412" s="149"/>
      <c r="H412" s="709">
        <v>22.91516095975544</v>
      </c>
      <c r="J412" s="119"/>
    </row>
    <row r="413" spans="4:11">
      <c r="E413" s="119" t="s">
        <v>702</v>
      </c>
      <c r="F413" s="149"/>
      <c r="G413" s="149"/>
      <c r="H413" s="709">
        <v>282.9316553806807</v>
      </c>
      <c r="J413" s="119"/>
    </row>
    <row r="414" spans="4:11">
      <c r="E414" s="119" t="s">
        <v>703</v>
      </c>
      <c r="F414" s="149"/>
      <c r="G414" s="149"/>
      <c r="H414" s="709">
        <v>457.70564862459349</v>
      </c>
      <c r="J414" s="119"/>
    </row>
    <row r="415" spans="4:11">
      <c r="E415" s="119" t="s">
        <v>703</v>
      </c>
      <c r="F415" s="149"/>
      <c r="G415" s="149"/>
      <c r="H415" s="709">
        <v>397.17378485831449</v>
      </c>
      <c r="J415" s="119"/>
    </row>
    <row r="416" spans="4:11">
      <c r="E416" s="119" t="s">
        <v>703</v>
      </c>
      <c r="F416" s="149"/>
      <c r="G416" s="149"/>
      <c r="H416" s="709">
        <v>407.2903803142911</v>
      </c>
      <c r="J416" s="119"/>
    </row>
    <row r="417" spans="4:10">
      <c r="E417" s="119" t="s">
        <v>703</v>
      </c>
      <c r="F417" s="149"/>
      <c r="G417" s="149"/>
      <c r="H417" s="709">
        <v>336.10246299700549</v>
      </c>
      <c r="J417" s="119"/>
    </row>
    <row r="418" spans="4:10">
      <c r="E418" s="119" t="s">
        <v>704</v>
      </c>
      <c r="F418" s="149"/>
      <c r="G418" s="149"/>
      <c r="H418" s="709">
        <v>4332.2073569947297</v>
      </c>
      <c r="J418" s="119"/>
    </row>
    <row r="419" spans="4:10">
      <c r="E419" s="119" t="s">
        <v>705</v>
      </c>
      <c r="F419" s="149"/>
      <c r="G419" s="149"/>
      <c r="H419" s="709">
        <v>155.95946485181025</v>
      </c>
      <c r="J419" s="119"/>
    </row>
    <row r="420" spans="4:10">
      <c r="E420" s="119" t="s">
        <v>706</v>
      </c>
      <c r="F420" s="149"/>
      <c r="G420" s="149"/>
      <c r="H420" s="709">
        <v>1554.5436782268744</v>
      </c>
      <c r="J420" s="119"/>
    </row>
    <row r="421" spans="4:10">
      <c r="E421" s="119" t="s">
        <v>707</v>
      </c>
      <c r="F421" s="149"/>
      <c r="G421" s="149"/>
      <c r="H421" s="709">
        <v>55.963572416167473</v>
      </c>
      <c r="J421" s="119"/>
    </row>
    <row r="422" spans="4:10">
      <c r="E422" s="119" t="s">
        <v>708</v>
      </c>
      <c r="F422" s="149"/>
      <c r="G422" s="149"/>
      <c r="H422" s="709">
        <v>1.4909929953238199</v>
      </c>
      <c r="J422" s="119"/>
    </row>
    <row r="423" spans="4:10">
      <c r="E423" s="119" t="s">
        <v>709</v>
      </c>
      <c r="F423" s="149"/>
      <c r="G423" s="149"/>
      <c r="H423" s="709">
        <v>0</v>
      </c>
      <c r="J423" s="119"/>
    </row>
    <row r="426" spans="4:10">
      <c r="D426" s="168" t="s">
        <v>727</v>
      </c>
    </row>
    <row r="427" spans="4:10">
      <c r="E427" s="119" t="s">
        <v>729</v>
      </c>
      <c r="H427" s="709">
        <f>[2]Summary_Calc!$P$1176</f>
        <v>36.38014759569726</v>
      </c>
    </row>
    <row r="428" spans="4:10">
      <c r="E428" s="119" t="s">
        <v>728</v>
      </c>
      <c r="H428" s="709">
        <f>[2]Summary_Calc!$P$1121</f>
        <v>29.511196849599258</v>
      </c>
    </row>
    <row r="429" spans="4:10">
      <c r="E429" s="119" t="s">
        <v>730</v>
      </c>
      <c r="H429" s="711">
        <f>H428-H427</f>
        <v>-6.868950746098001</v>
      </c>
    </row>
  </sheetData>
  <pageMargins left="0.70866141732283472" right="0.70866141732283472" top="0.74803149606299213" bottom="0.74803149606299213" header="0.31496062992125984" footer="0.31496062992125984"/>
  <pageSetup paperSize="9" scale="43" fitToHeight="0" orientation="landscape" r:id="rId1"/>
  <headerFooter>
    <oddHeader>&amp;LPage &amp;P of &amp;N&amp;CSheet:&amp;A</oddHeader>
    <oddFooter>&amp;L&amp;F ( Printed on &amp;D at &amp;T )&amp;ROFWAT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1"/>
  </sheetPr>
  <dimension ref="A1"/>
  <sheetViews>
    <sheetView showGridLines="0" workbookViewId="0"/>
  </sheetViews>
  <sheetFormatPr defaultRowHeight="14.4"/>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outlinePr summaryBelow="0" summaryRight="0"/>
    <pageSetUpPr fitToPage="1"/>
  </sheetPr>
  <dimension ref="A1:U561"/>
  <sheetViews>
    <sheetView showGridLines="0" defaultGridColor="0" colorId="22" zoomScale="80" zoomScaleNormal="80" workbookViewId="0">
      <pane ySplit="5" topLeftCell="A6" activePane="bottomLeft" state="frozen"/>
      <selection pane="bottomLeft"/>
    </sheetView>
  </sheetViews>
  <sheetFormatPr defaultColWidth="0" defaultRowHeight="13.2" outlineLevelRow="2"/>
  <cols>
    <col min="1" max="2" width="1.21875" style="11" customWidth="1"/>
    <col min="3" max="3" width="1.21875" style="12" customWidth="1"/>
    <col min="4" max="4" width="5.77734375" style="137" customWidth="1"/>
    <col min="5" max="5" width="87.21875" style="14" customWidth="1"/>
    <col min="6" max="6" width="17.77734375" style="13" customWidth="1"/>
    <col min="7" max="7" width="11.77734375" style="13" customWidth="1"/>
    <col min="8" max="8" width="15.77734375" style="13" customWidth="1"/>
    <col min="9" max="9" width="3.77734375" style="45" customWidth="1"/>
    <col min="10" max="10" width="39.77734375" style="45" customWidth="1"/>
    <col min="11" max="11" width="10.77734375" style="45" hidden="1" customWidth="1"/>
    <col min="12" max="12" width="11.77734375" style="45" hidden="1" customWidth="1"/>
    <col min="13" max="16384" width="9.21875" style="45" hidden="1"/>
  </cols>
  <sheetData>
    <row r="1" spans="1:21" ht="24.6">
      <c r="A1" s="1" t="str">
        <f ca="1" xml:space="preserve"> RIGHT(CELL("filename", $A$1), LEN(CELL("filename", $A$1)) - SEARCH("]", CELL("filename", $A$1)))</f>
        <v>RCV</v>
      </c>
      <c r="B1" s="1"/>
      <c r="C1" s="2"/>
      <c r="D1" s="150"/>
      <c r="E1" s="4"/>
      <c r="F1" s="352">
        <f>Check!F2</f>
        <v>0</v>
      </c>
      <c r="G1" s="353" t="s">
        <v>239</v>
      </c>
      <c r="H1" s="121"/>
    </row>
    <row r="2" spans="1:21">
      <c r="A2" s="7"/>
      <c r="B2" s="7"/>
      <c r="C2" s="8"/>
      <c r="D2" s="161"/>
      <c r="E2" s="10"/>
      <c r="F2" s="352">
        <f>Check!F3</f>
        <v>93</v>
      </c>
      <c r="G2" s="569" t="s">
        <v>352</v>
      </c>
      <c r="H2" s="121"/>
    </row>
    <row r="3" spans="1:21">
      <c r="A3" s="7"/>
      <c r="B3" s="7"/>
      <c r="C3" s="8"/>
      <c r="D3" s="161"/>
      <c r="E3" s="10"/>
      <c r="F3" s="121"/>
      <c r="G3" s="121"/>
      <c r="H3" s="121"/>
    </row>
    <row r="4" spans="1:21">
      <c r="A4" s="7"/>
      <c r="B4" s="7"/>
      <c r="C4" s="8"/>
      <c r="D4" s="161"/>
      <c r="E4" s="10"/>
      <c r="F4" s="121"/>
      <c r="G4" s="121"/>
      <c r="H4" s="121"/>
    </row>
    <row r="5" spans="1:21">
      <c r="A5" s="7"/>
      <c r="B5" s="7"/>
      <c r="C5" s="8"/>
      <c r="D5" s="161"/>
      <c r="E5" s="10"/>
      <c r="F5" s="122" t="s">
        <v>0</v>
      </c>
      <c r="G5" s="122" t="s">
        <v>1</v>
      </c>
      <c r="H5" s="122" t="s">
        <v>22</v>
      </c>
      <c r="I5" s="81"/>
      <c r="J5" s="7" t="s">
        <v>89</v>
      </c>
    </row>
    <row r="7" spans="1:21" s="65" customFormat="1" ht="15" customHeight="1">
      <c r="A7" s="15" t="s">
        <v>138</v>
      </c>
      <c r="B7" s="15"/>
      <c r="C7" s="16"/>
      <c r="D7" s="135"/>
      <c r="E7" s="135"/>
      <c r="F7" s="17"/>
      <c r="G7" s="17"/>
      <c r="H7" s="15"/>
      <c r="I7" s="15"/>
      <c r="J7" s="15"/>
      <c r="K7" s="82"/>
    </row>
    <row r="8" spans="1:21" s="65" customFormat="1" ht="15" customHeight="1">
      <c r="A8" s="193"/>
      <c r="B8" s="270"/>
      <c r="D8" s="194"/>
      <c r="E8" s="194"/>
      <c r="F8" s="195"/>
      <c r="G8" s="195"/>
      <c r="H8" s="193"/>
      <c r="I8" s="45"/>
      <c r="J8" s="196"/>
      <c r="K8" s="196"/>
    </row>
    <row r="9" spans="1:21" customFormat="1" ht="14.4">
      <c r="A9" s="106"/>
      <c r="B9" s="270" t="s">
        <v>118</v>
      </c>
      <c r="C9" s="164"/>
      <c r="D9" s="165"/>
      <c r="F9" s="274"/>
      <c r="G9" s="274"/>
      <c r="H9" s="271"/>
      <c r="I9" s="42"/>
      <c r="J9" s="271"/>
      <c r="K9" s="271"/>
      <c r="L9" s="271"/>
      <c r="M9" s="271"/>
      <c r="N9" s="271"/>
      <c r="O9" s="271"/>
      <c r="P9" s="271"/>
      <c r="Q9" s="271"/>
      <c r="R9" s="271"/>
      <c r="S9" s="271"/>
      <c r="T9" s="271"/>
      <c r="U9" s="271"/>
    </row>
    <row r="10" spans="1:21">
      <c r="B10" s="11" t="s">
        <v>28</v>
      </c>
      <c r="I10" s="42"/>
    </row>
    <row r="11" spans="1:21" outlineLevel="1"/>
    <row r="12" spans="1:21" customFormat="1" ht="12.75" customHeight="1" outlineLevel="1">
      <c r="A12" s="163"/>
      <c r="B12" s="106"/>
      <c r="C12" s="107" t="str">
        <f>InpC!$F$26</f>
        <v>PR14</v>
      </c>
      <c r="D12" s="165"/>
      <c r="E12" s="109"/>
      <c r="F12" s="108"/>
      <c r="G12" s="108"/>
      <c r="H12" s="109"/>
      <c r="I12" s="45"/>
      <c r="J12" s="109"/>
      <c r="K12" s="109"/>
      <c r="L12" s="109"/>
      <c r="M12" s="109"/>
      <c r="N12" s="109"/>
      <c r="O12" s="109"/>
      <c r="P12" s="109"/>
      <c r="Q12" s="109"/>
      <c r="R12" s="109"/>
      <c r="S12" s="109"/>
      <c r="T12" s="109"/>
      <c r="U12" s="109"/>
    </row>
    <row r="13" spans="1:21" s="42" customFormat="1" ht="12.75" customHeight="1" outlineLevel="2">
      <c r="A13" s="51"/>
      <c r="B13" s="51"/>
      <c r="C13" s="147"/>
      <c r="D13" s="694" t="str">
        <f>InpC!D$55</f>
        <v>PR14</v>
      </c>
      <c r="E13" s="31" t="str">
        <f>InpC!E$55</f>
        <v>Adjustment from 2012/13 year average RPI to 2017/18 year average CPIH deflated</v>
      </c>
      <c r="F13" s="726">
        <f>InpC!F$55</f>
        <v>1.1497410673850219</v>
      </c>
      <c r="G13" s="227" t="str">
        <f>InpC!G$55</f>
        <v>factor</v>
      </c>
      <c r="H13" s="227">
        <f>InpC!H$55</f>
        <v>0</v>
      </c>
      <c r="I13" s="45"/>
      <c r="J13" s="148"/>
      <c r="K13" s="148"/>
    </row>
    <row r="14" spans="1:21" s="42" customFormat="1" ht="12.75" customHeight="1" outlineLevel="2">
      <c r="A14" s="51"/>
      <c r="B14" s="61"/>
      <c r="C14" s="62"/>
      <c r="D14" s="742" t="str">
        <f>InpAct!D$108</f>
        <v>PR14</v>
      </c>
      <c r="E14" s="63" t="str">
        <f>InpAct!E$108</f>
        <v>RCV as at 2015 - real - water</v>
      </c>
      <c r="F14" s="124">
        <f>InpAct!F$108</f>
        <v>0</v>
      </c>
      <c r="G14" s="124" t="str">
        <f>InpAct!G$108</f>
        <v>£m</v>
      </c>
      <c r="H14" s="124">
        <f>InpAct!H$108</f>
        <v>4064.2755163313873</v>
      </c>
      <c r="J14" s="117"/>
      <c r="K14" s="46"/>
      <c r="L14" s="46"/>
    </row>
    <row r="15" spans="1:21" ht="12.75" customHeight="1" outlineLevel="2">
      <c r="A15" s="25"/>
      <c r="B15" s="18"/>
      <c r="C15" s="19"/>
      <c r="D15" s="730" t="str">
        <f>InpC!$F$26</f>
        <v>PR14</v>
      </c>
      <c r="E15" s="86" t="s">
        <v>57</v>
      </c>
      <c r="F15" s="126"/>
      <c r="G15" s="125" t="s">
        <v>2</v>
      </c>
      <c r="H15" s="182">
        <f>H14 * $F13</f>
        <v>4672.8644702936599</v>
      </c>
      <c r="I15" s="42"/>
      <c r="J15" s="117"/>
      <c r="K15" s="83"/>
    </row>
    <row r="16" spans="1:21" ht="12.75" customHeight="1" outlineLevel="2">
      <c r="A16" s="25"/>
      <c r="B16" s="18"/>
      <c r="C16" s="19"/>
      <c r="D16" s="86"/>
      <c r="E16" s="86"/>
      <c r="F16" s="126"/>
      <c r="G16" s="125"/>
      <c r="H16" s="182"/>
      <c r="I16" s="120"/>
      <c r="J16" s="117"/>
      <c r="K16" s="83"/>
    </row>
    <row r="17" spans="1:21" s="42" customFormat="1" ht="12.75" customHeight="1" outlineLevel="2">
      <c r="A17" s="51"/>
      <c r="B17" s="51"/>
      <c r="C17" s="147"/>
      <c r="D17" s="694" t="str">
        <f>InpC!D$55</f>
        <v>PR14</v>
      </c>
      <c r="E17" s="31" t="str">
        <f>InpC!E$55</f>
        <v>Adjustment from 2012/13 year average RPI to 2017/18 year average CPIH deflated</v>
      </c>
      <c r="F17" s="726">
        <f>InpC!F$55</f>
        <v>1.1497410673850219</v>
      </c>
      <c r="G17" s="227" t="str">
        <f>InpC!G$55</f>
        <v>factor</v>
      </c>
      <c r="H17" s="227">
        <f>InpC!H$55</f>
        <v>0</v>
      </c>
      <c r="I17" s="45"/>
      <c r="J17" s="148"/>
      <c r="K17" s="148"/>
    </row>
    <row r="18" spans="1:21" s="42" customFormat="1" ht="12.75" customHeight="1" outlineLevel="2">
      <c r="A18" s="51"/>
      <c r="B18" s="51"/>
      <c r="C18" s="147"/>
      <c r="D18" s="743" t="str">
        <f>InpAct!D$109</f>
        <v>PR14</v>
      </c>
      <c r="E18" s="102" t="str">
        <f>InpAct!E$109</f>
        <v>Depreciation of 2015 RCV - real - water</v>
      </c>
      <c r="F18" s="102">
        <f>InpAct!F$109</f>
        <v>0</v>
      </c>
      <c r="G18" s="174" t="str">
        <f>InpAct!G$109</f>
        <v>£m</v>
      </c>
      <c r="H18" s="112">
        <f>InpAct!H$109</f>
        <v>-114.78621536638822</v>
      </c>
      <c r="I18" s="45"/>
      <c r="J18" s="690"/>
      <c r="K18" s="690"/>
    </row>
    <row r="19" spans="1:21" ht="12.75" customHeight="1" outlineLevel="2">
      <c r="A19" s="25"/>
      <c r="B19" s="25"/>
      <c r="C19" s="26"/>
      <c r="D19" s="730" t="str">
        <f>InpC!$F$26</f>
        <v>PR14</v>
      </c>
      <c r="E19" s="86" t="s">
        <v>356</v>
      </c>
      <c r="F19" s="125"/>
      <c r="G19" s="125" t="s">
        <v>2</v>
      </c>
      <c r="H19" s="182">
        <f>H18 * $F17</f>
        <v>-131.97442577643818</v>
      </c>
      <c r="J19" s="574"/>
      <c r="K19" s="117"/>
    </row>
    <row r="20" spans="1:21" ht="12.75" customHeight="1" outlineLevel="2">
      <c r="A20" s="25"/>
      <c r="B20" s="25"/>
      <c r="C20" s="26"/>
      <c r="D20" s="730" t="str">
        <f>InpC!$F$26</f>
        <v>PR14</v>
      </c>
      <c r="E20" s="86" t="s">
        <v>360</v>
      </c>
      <c r="F20" s="125"/>
      <c r="G20" s="125" t="s">
        <v>2</v>
      </c>
      <c r="H20" s="711">
        <f xml:space="preserve"> -1 * H19</f>
        <v>131.97442577643818</v>
      </c>
      <c r="J20" s="574"/>
      <c r="K20" s="117"/>
    </row>
    <row r="21" spans="1:21" ht="12.75" customHeight="1" outlineLevel="2">
      <c r="A21" s="25"/>
      <c r="B21" s="18"/>
      <c r="C21" s="19"/>
      <c r="D21" s="86"/>
      <c r="E21" s="86"/>
      <c r="F21" s="125"/>
      <c r="G21" s="125"/>
      <c r="H21" s="182"/>
      <c r="J21" s="418"/>
      <c r="K21" s="83"/>
    </row>
    <row r="22" spans="1:21" customFormat="1" ht="14.4" outlineLevel="2">
      <c r="A22" s="106"/>
      <c r="B22" s="270" t="s">
        <v>357</v>
      </c>
      <c r="C22" s="164"/>
      <c r="D22" s="165"/>
      <c r="F22" s="274"/>
      <c r="G22" s="274"/>
      <c r="H22" s="271"/>
      <c r="I22" s="45"/>
      <c r="J22" s="574"/>
      <c r="K22" s="271"/>
      <c r="L22" s="271"/>
      <c r="M22" s="271"/>
      <c r="N22" s="271"/>
      <c r="O22" s="271"/>
      <c r="P22" s="271"/>
      <c r="Q22" s="271"/>
      <c r="R22" s="271"/>
      <c r="S22" s="271"/>
      <c r="T22" s="271"/>
      <c r="U22" s="271"/>
    </row>
    <row r="23" spans="1:21" s="120" customFormat="1" ht="12.75" customHeight="1" outlineLevel="2">
      <c r="A23" s="25"/>
      <c r="B23" s="25"/>
      <c r="C23" s="26"/>
      <c r="D23" s="730" t="str">
        <f>InpAct!D$84</f>
        <v>PR14</v>
      </c>
      <c r="E23" s="730" t="str">
        <f>InpAct!E$84</f>
        <v>Proportion of capex that is subject to depreciation in year of acquisition</v>
      </c>
      <c r="F23" s="754">
        <f>InpAct!F$84</f>
        <v>0</v>
      </c>
      <c r="G23" s="753" t="str">
        <f>InpAct!G$84</f>
        <v>%</v>
      </c>
      <c r="H23" s="754">
        <f>InpAct!H$84</f>
        <v>0.5</v>
      </c>
      <c r="J23" s="85"/>
      <c r="K23" s="189"/>
    </row>
    <row r="24" spans="1:21" s="31" customFormat="1" ht="12.75" customHeight="1" outlineLevel="2">
      <c r="A24" s="104"/>
      <c r="B24" s="104"/>
      <c r="C24" s="105"/>
      <c r="D24" s="110" t="str">
        <f>InpAct!D$111</f>
        <v>PR14</v>
      </c>
      <c r="E24" s="110" t="str">
        <f>InpAct!E$111</f>
        <v>Non-PAYG Totex in year additions - real</v>
      </c>
      <c r="F24" s="127">
        <f>InpAct!F$111</f>
        <v>0</v>
      </c>
      <c r="G24" s="127" t="str">
        <f>InpAct!G$111</f>
        <v>£m</v>
      </c>
      <c r="H24" s="112">
        <f>InpAct!H$111</f>
        <v>251.87143474736598</v>
      </c>
      <c r="I24" s="271"/>
    </row>
    <row r="25" spans="1:21" s="28" customFormat="1" ht="12.75" customHeight="1" outlineLevel="2">
      <c r="A25" s="22"/>
      <c r="B25" s="22"/>
      <c r="C25" s="226"/>
      <c r="D25" s="730" t="str">
        <f>InpC!$F$26</f>
        <v>PR14</v>
      </c>
      <c r="E25" s="86" t="s">
        <v>638</v>
      </c>
      <c r="F25" s="125"/>
      <c r="G25" s="125" t="s">
        <v>2</v>
      </c>
      <c r="H25" s="85">
        <f>$H23 * H24</f>
        <v>125.93571737368299</v>
      </c>
      <c r="I25" s="271"/>
      <c r="J25" s="85"/>
      <c r="K25" s="31"/>
      <c r="L25" s="31"/>
      <c r="M25" s="31"/>
    </row>
    <row r="26" spans="1:21" ht="12.75" customHeight="1" outlineLevel="2">
      <c r="A26" s="25"/>
      <c r="B26" s="25"/>
      <c r="C26" s="26"/>
      <c r="D26" s="86"/>
      <c r="E26" s="86"/>
      <c r="F26" s="125"/>
      <c r="G26" s="125"/>
      <c r="H26" s="182"/>
      <c r="J26" s="574"/>
      <c r="K26" s="117"/>
    </row>
    <row r="27" spans="1:21" s="42" customFormat="1" ht="12.75" customHeight="1" outlineLevel="2">
      <c r="A27" s="51"/>
      <c r="B27" s="51"/>
      <c r="C27" s="147"/>
      <c r="D27" s="694" t="str">
        <f>InpC!D$55</f>
        <v>PR14</v>
      </c>
      <c r="E27" s="31" t="str">
        <f>InpC!E$55</f>
        <v>Adjustment from 2012/13 year average RPI to 2017/18 year average CPIH deflated</v>
      </c>
      <c r="F27" s="726">
        <f>InpC!F$55</f>
        <v>1.1497410673850219</v>
      </c>
      <c r="G27" s="227" t="str">
        <f>InpC!G$55</f>
        <v>factor</v>
      </c>
      <c r="H27" s="227">
        <f>InpC!H$55</f>
        <v>0</v>
      </c>
      <c r="I27" s="45"/>
      <c r="J27" s="148"/>
      <c r="K27" s="148"/>
    </row>
    <row r="28" spans="1:21" s="311" customFormat="1" ht="12.75" customHeight="1" outlineLevel="2">
      <c r="A28" s="22"/>
      <c r="B28" s="22"/>
      <c r="C28" s="226"/>
      <c r="D28" s="732" t="str">
        <f>D$25</f>
        <v>PR14</v>
      </c>
      <c r="E28" s="732" t="str">
        <f t="shared" ref="E28:H28" si="0">E$25</f>
        <v>Non-PAYG Totex depreciated in year of acquisition - Water</v>
      </c>
      <c r="F28" s="733">
        <f t="shared" si="0"/>
        <v>0</v>
      </c>
      <c r="G28" s="734" t="str">
        <f t="shared" si="0"/>
        <v>£m</v>
      </c>
      <c r="H28" s="733">
        <f t="shared" si="0"/>
        <v>125.93571737368299</v>
      </c>
      <c r="I28" s="735"/>
      <c r="J28" s="85"/>
    </row>
    <row r="29" spans="1:21" s="311" customFormat="1" ht="12.75" customHeight="1" outlineLevel="2">
      <c r="A29" s="22"/>
      <c r="B29" s="22"/>
      <c r="C29" s="226"/>
      <c r="D29" s="741" t="str">
        <f>InpAct!D$117</f>
        <v>PR14</v>
      </c>
      <c r="E29" s="741" t="str">
        <f>InpAct!E$117</f>
        <v>Non-PAYG Totex balance BEG - real</v>
      </c>
      <c r="F29" s="112">
        <f>InpAct!F$117</f>
        <v>0</v>
      </c>
      <c r="G29" s="183" t="str">
        <f>InpAct!G$117</f>
        <v>£m</v>
      </c>
      <c r="H29" s="112">
        <f>InpAct!H$117</f>
        <v>1146.6440750636366</v>
      </c>
      <c r="I29" s="45"/>
    </row>
    <row r="30" spans="1:21" s="311" customFormat="1" ht="12.75" customHeight="1" outlineLevel="2">
      <c r="A30" s="22"/>
      <c r="B30" s="22"/>
      <c r="C30" s="226"/>
      <c r="D30" s="730" t="str">
        <f>InpC!$F$26</f>
        <v>PR14</v>
      </c>
      <c r="E30" s="311" t="s">
        <v>119</v>
      </c>
      <c r="F30" s="201"/>
      <c r="G30" s="201" t="s">
        <v>2</v>
      </c>
      <c r="H30" s="182">
        <f xml:space="preserve"> SUM(H28:H29) * $F27</f>
        <v>1463.1372488894935</v>
      </c>
      <c r="I30" s="45"/>
    </row>
    <row r="31" spans="1:21" s="311" customFormat="1" ht="12.75" customHeight="1" outlineLevel="2">
      <c r="A31" s="22"/>
      <c r="B31" s="22"/>
      <c r="C31" s="226"/>
      <c r="D31" s="741"/>
      <c r="F31" s="201"/>
      <c r="G31" s="201"/>
      <c r="H31" s="182"/>
      <c r="I31" s="45"/>
    </row>
    <row r="32" spans="1:21" s="28" customFormat="1" ht="12.75" customHeight="1" outlineLevel="2">
      <c r="A32" s="22"/>
      <c r="B32" s="22"/>
      <c r="C32" s="226"/>
      <c r="D32" s="86" t="str">
        <f>D$30</f>
        <v>PR14</v>
      </c>
      <c r="E32" s="86" t="str">
        <f t="shared" ref="E32:H32" si="1">E$30</f>
        <v>Non-PAYG Totex - 201718 year average CPIH deflated - Water</v>
      </c>
      <c r="F32" s="733">
        <f t="shared" si="1"/>
        <v>0</v>
      </c>
      <c r="G32" s="734" t="str">
        <f t="shared" si="1"/>
        <v>£m</v>
      </c>
      <c r="H32" s="733">
        <f t="shared" si="1"/>
        <v>1463.1372488894935</v>
      </c>
      <c r="I32" s="42"/>
      <c r="J32" s="276"/>
      <c r="K32" s="31"/>
      <c r="L32" s="31"/>
      <c r="M32" s="31"/>
    </row>
    <row r="33" spans="1:21" s="120" customFormat="1" ht="12.75" customHeight="1" outlineLevel="2">
      <c r="A33" s="25"/>
      <c r="B33" s="25"/>
      <c r="C33" s="26"/>
      <c r="D33" s="110" t="str">
        <f>InpAct!D$110</f>
        <v>PR14</v>
      </c>
      <c r="E33" s="110" t="str">
        <f>InpAct!E$110</f>
        <v>RCV Additions: Average Asset Life (to 1dp) - Water</v>
      </c>
      <c r="F33" s="203">
        <f>InpAct!F$110</f>
        <v>0</v>
      </c>
      <c r="G33" s="127" t="str">
        <f>InpAct!G$110</f>
        <v>years</v>
      </c>
      <c r="H33" s="703">
        <f>InpAct!H$110</f>
        <v>20.182673768262308</v>
      </c>
      <c r="I33" s="42"/>
      <c r="J33" s="85"/>
      <c r="K33" s="189"/>
    </row>
    <row r="34" spans="1:21" s="28" customFormat="1" ht="12.75" customHeight="1" outlineLevel="2">
      <c r="A34" s="22"/>
      <c r="B34" s="22"/>
      <c r="C34" s="226"/>
      <c r="D34" s="730" t="str">
        <f>InpC!$F$26</f>
        <v>PR14</v>
      </c>
      <c r="E34" s="86" t="s">
        <v>513</v>
      </c>
      <c r="F34" s="125"/>
      <c r="G34" s="125" t="s">
        <v>2</v>
      </c>
      <c r="H34" s="85">
        <f xml:space="preserve"> IFERROR(SUM(H32) / $H$33, 0)</f>
        <v>72.4947182761438</v>
      </c>
      <c r="I34" s="42"/>
      <c r="J34" s="85"/>
      <c r="K34" s="31"/>
      <c r="L34" s="31"/>
      <c r="M34" s="31"/>
    </row>
    <row r="35" spans="1:21" ht="12.75" customHeight="1" outlineLevel="2">
      <c r="A35" s="25"/>
      <c r="B35" s="18"/>
      <c r="C35" s="19"/>
      <c r="D35" s="86"/>
      <c r="E35" s="86"/>
      <c r="F35" s="125"/>
      <c r="G35" s="125"/>
      <c r="H35" s="182"/>
      <c r="I35" s="42"/>
      <c r="J35" s="275"/>
      <c r="K35" s="83"/>
    </row>
    <row r="36" spans="1:21" s="6" customFormat="1" ht="12.75" customHeight="1" outlineLevel="2">
      <c r="A36" s="11"/>
      <c r="B36" s="11"/>
      <c r="C36" s="12"/>
      <c r="D36" s="86" t="str">
        <f>D$15</f>
        <v>PR14</v>
      </c>
      <c r="E36" s="86" t="str">
        <f t="shared" ref="E36:G36" si="2">E$15</f>
        <v>RCV as at 2015 - 2017/18 year average CPIH deflated - water</v>
      </c>
      <c r="F36" s="125">
        <f t="shared" si="2"/>
        <v>0</v>
      </c>
      <c r="G36" s="125" t="str">
        <f t="shared" si="2"/>
        <v>£m</v>
      </c>
      <c r="H36" s="85">
        <f>H$15</f>
        <v>4672.8644702936599</v>
      </c>
      <c r="I36" s="42"/>
      <c r="J36" s="49"/>
      <c r="K36" s="29"/>
      <c r="L36" s="29"/>
      <c r="M36" s="29"/>
    </row>
    <row r="37" spans="1:21" s="6" customFormat="1" ht="12.75" customHeight="1" outlineLevel="2">
      <c r="A37" s="11"/>
      <c r="B37" s="11"/>
      <c r="C37" s="12"/>
      <c r="D37" s="720" t="str">
        <f>D$30</f>
        <v>PR14</v>
      </c>
      <c r="E37" s="85" t="str">
        <f>E$30</f>
        <v>Non-PAYG Totex - 201718 year average CPIH deflated - Water</v>
      </c>
      <c r="F37" s="182">
        <f>F$30</f>
        <v>0</v>
      </c>
      <c r="G37" s="182" t="str">
        <f>G$30</f>
        <v>£m</v>
      </c>
      <c r="H37" s="182">
        <f>H$30</f>
        <v>1463.1372488894935</v>
      </c>
      <c r="I37" s="45"/>
      <c r="J37" s="49"/>
      <c r="K37" s="29"/>
      <c r="L37" s="29"/>
      <c r="M37" s="29"/>
    </row>
    <row r="38" spans="1:21" s="6" customFormat="1" ht="12.75" customHeight="1" outlineLevel="2">
      <c r="A38" s="11"/>
      <c r="B38" s="11"/>
      <c r="C38" s="12"/>
      <c r="D38" s="744" t="str">
        <f>InpC!$F$26</f>
        <v>PR14</v>
      </c>
      <c r="E38" s="190" t="s">
        <v>514</v>
      </c>
      <c r="F38" s="202"/>
      <c r="G38" s="202" t="s">
        <v>2</v>
      </c>
      <c r="H38" s="200">
        <f>SUM(H36:H37)</f>
        <v>6136.0017191831539</v>
      </c>
      <c r="I38" s="45"/>
      <c r="J38" s="49"/>
      <c r="K38" s="29"/>
      <c r="L38" s="29"/>
      <c r="M38" s="29"/>
    </row>
    <row r="39" spans="1:21" s="6" customFormat="1" ht="12.75" customHeight="1" outlineLevel="2">
      <c r="A39" s="11"/>
      <c r="B39" s="11"/>
      <c r="C39" s="12"/>
      <c r="D39" s="86"/>
      <c r="E39" s="86"/>
      <c r="F39" s="125"/>
      <c r="G39" s="125"/>
      <c r="H39" s="85"/>
      <c r="I39" s="45"/>
      <c r="J39" s="49"/>
      <c r="K39" s="29"/>
      <c r="L39" s="29"/>
      <c r="M39" s="29"/>
    </row>
    <row r="40" spans="1:21" s="6" customFormat="1" ht="12.75" customHeight="1" outlineLevel="2">
      <c r="A40" s="11"/>
      <c r="B40" s="11"/>
      <c r="C40" s="12"/>
      <c r="D40" s="86" t="str">
        <f>D$20</f>
        <v>PR14</v>
      </c>
      <c r="E40" s="86" t="str">
        <f t="shared" ref="E40:H40" si="3">E$20</f>
        <v>Depreciation of 2015 RCV - 2017/18 year average CPIH deflated - Water POS</v>
      </c>
      <c r="F40" s="182">
        <f t="shared" si="3"/>
        <v>0</v>
      </c>
      <c r="G40" s="182" t="str">
        <f t="shared" si="3"/>
        <v>£m</v>
      </c>
      <c r="H40" s="182">
        <f t="shared" si="3"/>
        <v>131.97442577643818</v>
      </c>
      <c r="I40" s="45"/>
      <c r="J40" s="49"/>
      <c r="K40" s="29"/>
      <c r="L40" s="29"/>
      <c r="M40" s="29"/>
    </row>
    <row r="41" spans="1:21" s="6" customFormat="1" ht="12.75" customHeight="1" outlineLevel="2">
      <c r="A41" s="11"/>
      <c r="B41" s="11"/>
      <c r="C41" s="12"/>
      <c r="D41" s="86" t="str">
        <f>D$34</f>
        <v>PR14</v>
      </c>
      <c r="E41" s="86" t="str">
        <f>E$34</f>
        <v>Non-PAYG Totex depreciation - 2017/18 year average CPIH deflated - Water</v>
      </c>
      <c r="F41" s="125">
        <f>F$34</f>
        <v>0</v>
      </c>
      <c r="G41" s="125" t="str">
        <f>G$34</f>
        <v>£m</v>
      </c>
      <c r="H41" s="85">
        <f>H$34</f>
        <v>72.4947182761438</v>
      </c>
      <c r="I41" s="45"/>
      <c r="J41" s="29"/>
      <c r="K41" s="29"/>
      <c r="L41" s="29"/>
      <c r="M41" s="29"/>
    </row>
    <row r="42" spans="1:21" s="6" customFormat="1" ht="12.75" customHeight="1" outlineLevel="2">
      <c r="A42" s="11"/>
      <c r="B42" s="11"/>
      <c r="C42" s="12"/>
      <c r="D42" s="744" t="str">
        <f>InpC!$F$26</f>
        <v>PR14</v>
      </c>
      <c r="E42" s="190" t="s">
        <v>515</v>
      </c>
      <c r="F42" s="202"/>
      <c r="G42" s="202" t="s">
        <v>2</v>
      </c>
      <c r="H42" s="710">
        <f>SUM(H40:H41)</f>
        <v>204.46914405258198</v>
      </c>
      <c r="I42" s="45"/>
      <c r="J42" s="29"/>
      <c r="K42" s="29"/>
      <c r="L42" s="29"/>
      <c r="M42" s="29"/>
    </row>
    <row r="43" spans="1:21" ht="12.75" customHeight="1" outlineLevel="1">
      <c r="A43" s="25"/>
      <c r="B43" s="18"/>
      <c r="C43" s="19"/>
      <c r="D43" s="86"/>
      <c r="E43" s="86"/>
      <c r="F43" s="125"/>
      <c r="G43" s="125"/>
      <c r="H43" s="182"/>
      <c r="J43" s="83"/>
      <c r="K43" s="83"/>
    </row>
    <row r="44" spans="1:21" customFormat="1" ht="14.4" outlineLevel="1">
      <c r="A44" s="106"/>
      <c r="B44" s="270"/>
      <c r="C44" s="107" t="str">
        <f>InpC!$F$27</f>
        <v>PR19</v>
      </c>
      <c r="D44" s="165"/>
      <c r="F44" s="274"/>
      <c r="G44" s="274"/>
      <c r="H44" s="271"/>
      <c r="I44" s="45"/>
      <c r="J44" s="271"/>
      <c r="K44" s="271"/>
      <c r="L44" s="271"/>
      <c r="M44" s="271"/>
      <c r="N44" s="271"/>
      <c r="O44" s="271"/>
      <c r="P44" s="271"/>
      <c r="Q44" s="271"/>
      <c r="R44" s="271"/>
      <c r="S44" s="271"/>
      <c r="T44" s="271"/>
      <c r="U44" s="271"/>
    </row>
    <row r="45" spans="1:21" customFormat="1" ht="12.75" customHeight="1" outlineLevel="2">
      <c r="A45" s="163"/>
      <c r="B45" s="106"/>
      <c r="C45" s="107" t="str">
        <f>InpC!$F$27 &amp; " Water resources"</f>
        <v>PR19 Water resources</v>
      </c>
      <c r="D45" s="165"/>
      <c r="E45" s="109"/>
      <c r="F45" s="108"/>
      <c r="G45" s="108"/>
      <c r="H45" s="109"/>
      <c r="I45" s="45"/>
      <c r="J45" s="109"/>
      <c r="K45" s="109"/>
      <c r="L45" s="109"/>
      <c r="M45" s="109"/>
      <c r="N45" s="109"/>
      <c r="O45" s="109"/>
      <c r="P45" s="109"/>
      <c r="Q45" s="109"/>
      <c r="R45" s="109"/>
      <c r="S45" s="109"/>
      <c r="T45" s="109"/>
      <c r="U45" s="109"/>
    </row>
    <row r="46" spans="1:21" ht="12.75" customHeight="1" outlineLevel="2">
      <c r="A46" s="25"/>
      <c r="B46" s="25"/>
      <c r="C46" s="26"/>
      <c r="D46" s="618" t="str">
        <f>InpC!D$57</f>
        <v>PR19</v>
      </c>
      <c r="E46" s="618" t="str">
        <f>InpC!E$57</f>
        <v>CPI(H): Fin year average - inflate from base year 2017-18 average</v>
      </c>
      <c r="F46" s="727">
        <f>InpC!F$57</f>
        <v>1.1476732911210807</v>
      </c>
      <c r="G46" s="714" t="str">
        <f>InpC!G$57</f>
        <v>factor</v>
      </c>
      <c r="H46" s="714">
        <f>InpC!H$57</f>
        <v>0</v>
      </c>
      <c r="J46" s="117"/>
      <c r="K46" s="117"/>
    </row>
    <row r="47" spans="1:21" ht="12.75" customHeight="1" outlineLevel="2">
      <c r="A47" s="25"/>
      <c r="B47" s="25"/>
      <c r="C47" s="26"/>
      <c r="D47" s="110" t="str">
        <f>InpAct!D$132</f>
        <v>PR19</v>
      </c>
      <c r="E47" s="110" t="str">
        <f>InpAct!E$132</f>
        <v>RCV CPI(H) bf balance BEG - WR - nominal</v>
      </c>
      <c r="F47" s="127">
        <f>InpAct!F$132</f>
        <v>0</v>
      </c>
      <c r="G47" s="127" t="str">
        <f>InpAct!G$132</f>
        <v>£m</v>
      </c>
      <c r="H47" s="112">
        <f>InpAct!H$132</f>
        <v>141.66676100153128</v>
      </c>
      <c r="J47" s="117"/>
      <c r="K47" s="117"/>
    </row>
    <row r="48" spans="1:21" ht="12.75" customHeight="1" outlineLevel="2">
      <c r="A48" s="25"/>
      <c r="B48" s="25"/>
      <c r="C48" s="26"/>
      <c r="D48" s="110" t="str">
        <f>InpAct!D$133</f>
        <v>PR19</v>
      </c>
      <c r="E48" s="110" t="str">
        <f>InpAct!E$133</f>
        <v>Indexation on RCV - CPI(H) bf balance - WR - nominal</v>
      </c>
      <c r="F48" s="127">
        <f>InpAct!F$133</f>
        <v>0</v>
      </c>
      <c r="G48" s="127" t="str">
        <f>InpAct!G$133</f>
        <v>£m</v>
      </c>
      <c r="H48" s="112">
        <f>InpAct!H$133</f>
        <v>2.8333352200306599</v>
      </c>
      <c r="J48" s="189"/>
      <c r="K48" s="117"/>
    </row>
    <row r="49" spans="1:11" s="120" customFormat="1" ht="12.75" customHeight="1" outlineLevel="2">
      <c r="A49" s="25"/>
      <c r="B49" s="25"/>
      <c r="C49" s="26"/>
      <c r="D49" s="741" t="str">
        <f>InpC!$F$27</f>
        <v>PR19</v>
      </c>
      <c r="E49" s="144" t="s">
        <v>516</v>
      </c>
      <c r="F49" s="145"/>
      <c r="G49" s="145" t="s">
        <v>2</v>
      </c>
      <c r="H49" s="85">
        <f>SUM(H47:H48) / $F$46</f>
        <v>125.90699577961776</v>
      </c>
      <c r="I49" s="45"/>
      <c r="J49" s="189"/>
      <c r="K49" s="189"/>
    </row>
    <row r="50" spans="1:11" ht="12.75" customHeight="1" outlineLevel="2">
      <c r="A50" s="25"/>
      <c r="B50" s="25"/>
      <c r="C50" s="26"/>
      <c r="D50" s="110"/>
      <c r="E50" s="110"/>
      <c r="F50" s="127"/>
      <c r="G50" s="127"/>
      <c r="H50" s="112"/>
      <c r="J50" s="117"/>
      <c r="K50" s="117"/>
    </row>
    <row r="51" spans="1:11" ht="12.75" customHeight="1" outlineLevel="2">
      <c r="A51" s="25"/>
      <c r="B51" s="25"/>
      <c r="C51" s="26"/>
      <c r="D51" s="618" t="str">
        <f>InpC!D$57</f>
        <v>PR19</v>
      </c>
      <c r="E51" s="618" t="str">
        <f>InpC!E$57</f>
        <v>CPI(H): Fin year average - inflate from base year 2017-18 average</v>
      </c>
      <c r="F51" s="727">
        <f>InpC!F$57</f>
        <v>1.1476732911210807</v>
      </c>
      <c r="G51" s="714" t="str">
        <f>InpC!G$57</f>
        <v>factor</v>
      </c>
      <c r="H51" s="714">
        <f>InpC!H$57</f>
        <v>0</v>
      </c>
      <c r="J51" s="117"/>
      <c r="K51" s="117"/>
    </row>
    <row r="52" spans="1:11" s="42" customFormat="1" ht="12.75" customHeight="1" outlineLevel="2">
      <c r="A52" s="51"/>
      <c r="B52" s="51"/>
      <c r="C52" s="147"/>
      <c r="D52" s="110" t="str">
        <f>InpAct!D$134</f>
        <v>PR19</v>
      </c>
      <c r="E52" s="110" t="str">
        <f>InpAct!E$134</f>
        <v>RCV - CPI(H) bf depreciation - WR - nominal</v>
      </c>
      <c r="F52" s="127">
        <f>InpAct!F$134</f>
        <v>0</v>
      </c>
      <c r="G52" s="127" t="str">
        <f>InpAct!G$134</f>
        <v>£m</v>
      </c>
      <c r="H52" s="112">
        <f>InpAct!H$134</f>
        <v>5.6222754809467599</v>
      </c>
      <c r="I52" s="45"/>
      <c r="J52" s="110"/>
      <c r="K52" s="148"/>
    </row>
    <row r="53" spans="1:11" s="42" customFormat="1" ht="12.75" customHeight="1" outlineLevel="2">
      <c r="A53" s="51"/>
      <c r="B53" s="51"/>
      <c r="C53" s="147"/>
      <c r="D53" s="741" t="str">
        <f>InpC!$F$27</f>
        <v>PR19</v>
      </c>
      <c r="E53" s="86" t="s">
        <v>517</v>
      </c>
      <c r="F53" s="145"/>
      <c r="G53" s="145" t="s">
        <v>2</v>
      </c>
      <c r="H53" s="85">
        <f>H52 / $F$51</f>
        <v>4.8988466704272238</v>
      </c>
      <c r="I53" s="45"/>
      <c r="J53" s="110"/>
      <c r="K53" s="148"/>
    </row>
    <row r="54" spans="1:11" ht="12.75" customHeight="1" outlineLevel="2">
      <c r="A54" s="25"/>
      <c r="B54" s="25"/>
      <c r="C54" s="26"/>
      <c r="D54" s="86"/>
      <c r="E54" s="86"/>
      <c r="F54" s="125"/>
      <c r="G54" s="125"/>
      <c r="H54" s="182"/>
      <c r="J54" s="691"/>
      <c r="K54" s="117"/>
    </row>
    <row r="55" spans="1:11" ht="12.75" customHeight="1" outlineLevel="2">
      <c r="A55" s="25"/>
      <c r="B55" s="25"/>
      <c r="C55" s="26"/>
      <c r="D55" s="618" t="str">
        <f>InpC!D$57</f>
        <v>PR19</v>
      </c>
      <c r="E55" s="618" t="str">
        <f>InpC!E$57</f>
        <v>CPI(H): Fin year average - inflate from base year 2017-18 average</v>
      </c>
      <c r="F55" s="727">
        <f>InpC!F$57</f>
        <v>1.1476732911210807</v>
      </c>
      <c r="G55" s="714" t="str">
        <f>InpC!G$57</f>
        <v>factor</v>
      </c>
      <c r="H55" s="714">
        <f>InpC!H$57</f>
        <v>0</v>
      </c>
      <c r="J55" s="117"/>
      <c r="K55" s="117"/>
    </row>
    <row r="56" spans="1:11" ht="12.75" customHeight="1" outlineLevel="2">
      <c r="A56" s="25"/>
      <c r="B56" s="25"/>
      <c r="C56" s="26"/>
      <c r="D56" s="110" t="str">
        <f>InpAct!D$135</f>
        <v>PR19</v>
      </c>
      <c r="E56" s="110" t="str">
        <f>InpAct!E$135</f>
        <v>RCV CPI(H) + RPI wedge bf balance BEG - WR - nominal</v>
      </c>
      <c r="F56" s="127">
        <f>InpAct!F$135</f>
        <v>0</v>
      </c>
      <c r="G56" s="127" t="str">
        <f>InpAct!G$135</f>
        <v>£m</v>
      </c>
      <c r="H56" s="112">
        <f>InpAct!H$135</f>
        <v>147.42637549280946</v>
      </c>
      <c r="J56" s="117"/>
      <c r="K56" s="117"/>
    </row>
    <row r="57" spans="1:11" ht="12.75" customHeight="1" outlineLevel="2">
      <c r="A57" s="25"/>
      <c r="B57" s="25"/>
      <c r="C57" s="26"/>
      <c r="D57" s="110" t="str">
        <f>InpAct!D$136</f>
        <v>PR19</v>
      </c>
      <c r="E57" s="110" t="str">
        <f>InpAct!E$136</f>
        <v>Indexation on RCV - CPI(H) + RPI wedge bf balance - WR - nominal</v>
      </c>
      <c r="F57" s="127">
        <f>InpAct!F$136</f>
        <v>0</v>
      </c>
      <c r="G57" s="127" t="str">
        <f>InpAct!G$136</f>
        <v>£m</v>
      </c>
      <c r="H57" s="112">
        <f>InpAct!H$136</f>
        <v>4.422791264784288</v>
      </c>
      <c r="J57" s="189"/>
      <c r="K57" s="117"/>
    </row>
    <row r="58" spans="1:11" s="120" customFormat="1" ht="12.75" customHeight="1" outlineLevel="2">
      <c r="A58" s="25"/>
      <c r="B58" s="25"/>
      <c r="C58" s="26"/>
      <c r="D58" s="741" t="str">
        <f>InpC!$F$27</f>
        <v>PR19</v>
      </c>
      <c r="E58" s="144" t="s">
        <v>518</v>
      </c>
      <c r="F58" s="145"/>
      <c r="G58" s="145" t="s">
        <v>2</v>
      </c>
      <c r="H58" s="85">
        <f>SUM(H56:H57) / $F$55</f>
        <v>132.31044752227618</v>
      </c>
      <c r="I58" s="45"/>
      <c r="J58" s="189"/>
      <c r="K58" s="189"/>
    </row>
    <row r="59" spans="1:11" s="120" customFormat="1" ht="12.75" customHeight="1" outlineLevel="2">
      <c r="A59" s="25"/>
      <c r="B59" s="25"/>
      <c r="C59" s="26"/>
      <c r="D59" s="86"/>
      <c r="E59" s="144"/>
      <c r="F59" s="145"/>
      <c r="G59" s="145"/>
      <c r="H59" s="85"/>
      <c r="I59" s="45"/>
      <c r="J59" s="189"/>
      <c r="K59" s="189"/>
    </row>
    <row r="60" spans="1:11" ht="12.75" customHeight="1" outlineLevel="2">
      <c r="A60" s="25"/>
      <c r="B60" s="25"/>
      <c r="C60" s="26"/>
      <c r="D60" s="618" t="str">
        <f>InpC!D$57</f>
        <v>PR19</v>
      </c>
      <c r="E60" s="618" t="str">
        <f>InpC!E$57</f>
        <v>CPI(H): Fin year average - inflate from base year 2017-18 average</v>
      </c>
      <c r="F60" s="727">
        <f>InpC!F$57</f>
        <v>1.1476732911210807</v>
      </c>
      <c r="G60" s="714" t="str">
        <f>InpC!G$57</f>
        <v>factor</v>
      </c>
      <c r="H60" s="714">
        <f>InpC!H$57</f>
        <v>0</v>
      </c>
      <c r="J60" s="117"/>
      <c r="K60" s="117"/>
    </row>
    <row r="61" spans="1:11" s="42" customFormat="1" ht="12.75" customHeight="1" outlineLevel="2">
      <c r="A61" s="51"/>
      <c r="B61" s="51"/>
      <c r="C61" s="147"/>
      <c r="D61" s="110" t="str">
        <f>InpAct!D$137</f>
        <v>PR19</v>
      </c>
      <c r="E61" s="110" t="str">
        <f>InpAct!E$137</f>
        <v>RCV - CPI(H) + RPI wedge bf depreciation - WR - nominal</v>
      </c>
      <c r="F61" s="127">
        <f>InpAct!F$137</f>
        <v>0</v>
      </c>
      <c r="G61" s="127" t="str">
        <f>InpAct!G$137</f>
        <v>£m</v>
      </c>
      <c r="H61" s="112">
        <f>InpAct!H$137</f>
        <v>5.9082164606615839</v>
      </c>
      <c r="I61" s="45"/>
      <c r="J61" s="110"/>
      <c r="K61" s="148"/>
    </row>
    <row r="62" spans="1:11" s="42" customFormat="1" ht="12.75" customHeight="1" outlineLevel="2">
      <c r="A62" s="51"/>
      <c r="B62" s="51"/>
      <c r="C62" s="147"/>
      <c r="D62" s="741" t="str">
        <f>InpC!$F$27</f>
        <v>PR19</v>
      </c>
      <c r="E62" s="86" t="s">
        <v>519</v>
      </c>
      <c r="F62" s="145"/>
      <c r="G62" s="145" t="s">
        <v>2</v>
      </c>
      <c r="H62" s="85">
        <f>H61 / $F$60</f>
        <v>5.1479950839408888</v>
      </c>
      <c r="I62" s="45"/>
      <c r="J62" s="110"/>
      <c r="K62" s="148"/>
    </row>
    <row r="63" spans="1:11" s="42" customFormat="1" ht="12.75" customHeight="1" outlineLevel="2">
      <c r="A63" s="51"/>
      <c r="B63" s="51"/>
      <c r="C63" s="147"/>
      <c r="D63" s="110"/>
      <c r="E63" s="110"/>
      <c r="F63" s="127"/>
      <c r="G63" s="127"/>
      <c r="H63" s="112"/>
      <c r="I63" s="45"/>
      <c r="J63" s="110"/>
      <c r="K63" s="148"/>
    </row>
    <row r="64" spans="1:11" ht="12.75" customHeight="1" outlineLevel="2">
      <c r="A64" s="25"/>
      <c r="B64" s="25"/>
      <c r="C64" s="26"/>
      <c r="D64" s="618" t="str">
        <f>InpC!D$57</f>
        <v>PR19</v>
      </c>
      <c r="E64" s="618" t="str">
        <f>InpC!E$57</f>
        <v>CPI(H): Fin year average - inflate from base year 2017-18 average</v>
      </c>
      <c r="F64" s="727">
        <f>InpC!F$57</f>
        <v>1.1476732911210807</v>
      </c>
      <c r="G64" s="714" t="str">
        <f>InpC!G$57</f>
        <v>factor</v>
      </c>
      <c r="H64" s="714">
        <f>InpC!H$57</f>
        <v>0</v>
      </c>
      <c r="J64" s="117"/>
      <c r="K64" s="117"/>
    </row>
    <row r="65" spans="1:21" s="42" customFormat="1" ht="12.75" customHeight="1" outlineLevel="2">
      <c r="A65" s="51"/>
      <c r="B65" s="51"/>
      <c r="C65" s="147"/>
      <c r="D65" s="110" t="str">
        <f>InpAct!D$143</f>
        <v>PR19</v>
      </c>
      <c r="E65" s="110" t="str">
        <f>InpAct!E$143</f>
        <v>Water resources: Non-PAYG Totex - nominal</v>
      </c>
      <c r="F65" s="127">
        <f>InpAct!F$143</f>
        <v>0</v>
      </c>
      <c r="G65" s="127" t="str">
        <f>InpAct!G$143</f>
        <v>£m</v>
      </c>
      <c r="H65" s="112">
        <f>InpAct!H$143</f>
        <v>47.4854922929309</v>
      </c>
      <c r="I65" s="45"/>
      <c r="J65" s="110"/>
      <c r="K65" s="148"/>
    </row>
    <row r="66" spans="1:21" s="42" customFormat="1" ht="12.75" customHeight="1" outlineLevel="2">
      <c r="A66" s="51"/>
      <c r="B66" s="51"/>
      <c r="C66" s="147"/>
      <c r="D66" s="741" t="str">
        <f>InpC!$F$27</f>
        <v>PR19</v>
      </c>
      <c r="E66" s="86" t="s">
        <v>520</v>
      </c>
      <c r="F66" s="145"/>
      <c r="G66" s="145" t="s">
        <v>2</v>
      </c>
      <c r="H66" s="85">
        <f>H65 / $F$64</f>
        <v>41.375444266499997</v>
      </c>
      <c r="I66" s="45"/>
      <c r="J66" s="110"/>
      <c r="K66" s="148"/>
    </row>
    <row r="67" spans="1:21" s="42" customFormat="1" ht="12.75" customHeight="1" outlineLevel="2">
      <c r="A67" s="51"/>
      <c r="B67" s="51"/>
      <c r="C67" s="147"/>
      <c r="D67" s="110"/>
      <c r="E67" s="110"/>
      <c r="F67" s="127"/>
      <c r="G67" s="127"/>
      <c r="H67" s="112"/>
      <c r="I67" s="45"/>
      <c r="J67" s="110"/>
      <c r="K67" s="148"/>
    </row>
    <row r="68" spans="1:21" ht="12.75" customHeight="1" outlineLevel="2">
      <c r="A68" s="25"/>
      <c r="B68" s="25"/>
      <c r="C68" s="26"/>
      <c r="D68" s="618" t="str">
        <f>InpC!D$57</f>
        <v>PR19</v>
      </c>
      <c r="E68" s="618" t="str">
        <f>InpC!E$57</f>
        <v>CPI(H): Fin year average - inflate from base year 2017-18 average</v>
      </c>
      <c r="F68" s="727">
        <f>InpC!F$57</f>
        <v>1.1476732911210807</v>
      </c>
      <c r="G68" s="714" t="str">
        <f>InpC!G$57</f>
        <v>factor</v>
      </c>
      <c r="H68" s="714">
        <f>InpC!H$57</f>
        <v>0</v>
      </c>
      <c r="J68" s="117"/>
      <c r="K68" s="117"/>
    </row>
    <row r="69" spans="1:21" ht="12.75" customHeight="1" outlineLevel="2">
      <c r="A69" s="25"/>
      <c r="B69" s="18"/>
      <c r="C69" s="19"/>
      <c r="D69" s="745" t="str">
        <f>InpAct!D$141</f>
        <v>PR19</v>
      </c>
      <c r="E69" s="593" t="str">
        <f>InpAct!E$141</f>
        <v>RCV additions balance BEG - WR - nominal</v>
      </c>
      <c r="F69" s="593">
        <f>InpAct!F$141</f>
        <v>0</v>
      </c>
      <c r="G69" s="594" t="str">
        <f>InpAct!G$141</f>
        <v>£m</v>
      </c>
      <c r="H69" s="593">
        <f>InpAct!H$141</f>
        <v>172.26673404874768</v>
      </c>
      <c r="J69" s="83"/>
      <c r="K69" s="83"/>
    </row>
    <row r="70" spans="1:21" s="42" customFormat="1" ht="12.75" customHeight="1" outlineLevel="2">
      <c r="A70" s="51"/>
      <c r="B70" s="61"/>
      <c r="C70" s="62"/>
      <c r="D70" s="110" t="str">
        <f>InpAct!D$142</f>
        <v>PR19</v>
      </c>
      <c r="E70" s="110" t="str">
        <f>InpAct!E$142</f>
        <v>Indexation of RCV additions b/f - WR - nominal</v>
      </c>
      <c r="F70" s="127">
        <f>InpAct!F$142</f>
        <v>0</v>
      </c>
      <c r="G70" s="127" t="str">
        <f>InpAct!G$142</f>
        <v>£m</v>
      </c>
      <c r="H70" s="112">
        <f>InpAct!H$142</f>
        <v>3.445334680974995</v>
      </c>
      <c r="I70" s="45"/>
      <c r="J70" s="110"/>
      <c r="K70" s="111"/>
    </row>
    <row r="71" spans="1:21" s="42" customFormat="1" ht="12.75" customHeight="1" outlineLevel="2">
      <c r="A71" s="51"/>
      <c r="B71" s="61"/>
      <c r="C71" s="62"/>
      <c r="D71" s="741" t="str">
        <f>InpC!$F$27</f>
        <v>PR19</v>
      </c>
      <c r="E71" s="86" t="s">
        <v>624</v>
      </c>
      <c r="F71" s="145"/>
      <c r="G71" s="145" t="s">
        <v>2</v>
      </c>
      <c r="H71" s="85">
        <f>SUM(H69:H70) / $F$46</f>
        <v>153.10286480404369</v>
      </c>
      <c r="I71" s="45"/>
      <c r="J71" s="110"/>
      <c r="K71" s="111"/>
    </row>
    <row r="72" spans="1:21" s="42" customFormat="1" ht="12.75" customHeight="1" outlineLevel="2">
      <c r="A72" s="51"/>
      <c r="B72" s="61"/>
      <c r="C72" s="62"/>
      <c r="D72" s="86"/>
      <c r="E72" s="86"/>
      <c r="F72" s="145"/>
      <c r="G72" s="145"/>
      <c r="H72" s="85"/>
      <c r="I72" s="45"/>
      <c r="J72" s="110"/>
      <c r="K72" s="111"/>
    </row>
    <row r="73" spans="1:21" customFormat="1" ht="14.4" outlineLevel="2">
      <c r="A73" s="106"/>
      <c r="B73" s="270" t="s">
        <v>362</v>
      </c>
      <c r="C73" s="164"/>
      <c r="D73" s="165"/>
      <c r="F73" s="274"/>
      <c r="G73" s="274"/>
      <c r="H73" s="271"/>
      <c r="I73" s="45"/>
      <c r="J73" s="271"/>
      <c r="K73" s="271"/>
      <c r="L73" s="271"/>
      <c r="M73" s="271"/>
      <c r="N73" s="271"/>
      <c r="O73" s="271"/>
      <c r="P73" s="271"/>
      <c r="Q73" s="271"/>
      <c r="R73" s="271"/>
      <c r="S73" s="271"/>
      <c r="T73" s="271"/>
      <c r="U73" s="271"/>
    </row>
    <row r="74" spans="1:21" customFormat="1" ht="14.4" outlineLevel="2">
      <c r="A74" s="106"/>
      <c r="B74" s="270"/>
      <c r="C74" s="164"/>
      <c r="D74" s="751" t="str">
        <f>InpAct!D$139</f>
        <v>PR19</v>
      </c>
      <c r="E74" s="751" t="str">
        <f>InpAct!E$139</f>
        <v>Post 2020 investment run off rate  - Method used to apply run off rate (straight line or reducing balance) ~ water resources - RCV additions depreciation</v>
      </c>
      <c r="F74" s="232" t="str">
        <f>InpAct!F$139</f>
        <v>Reducing balance</v>
      </c>
      <c r="G74" s="232" t="str">
        <f>InpAct!G$139</f>
        <v>switch</v>
      </c>
      <c r="H74" s="752" t="str">
        <f>InpAct!H$139</f>
        <v>for info</v>
      </c>
      <c r="I74" s="45"/>
      <c r="J74" s="574"/>
      <c r="K74" s="271"/>
      <c r="L74" s="271"/>
      <c r="M74" s="271"/>
      <c r="N74" s="271"/>
      <c r="O74" s="271"/>
      <c r="P74" s="271"/>
      <c r="Q74" s="271"/>
      <c r="R74" s="271"/>
      <c r="S74" s="271"/>
      <c r="T74" s="271"/>
      <c r="U74" s="271"/>
    </row>
    <row r="75" spans="1:21" s="42" customFormat="1" ht="12.75" customHeight="1" outlineLevel="2">
      <c r="A75" s="51"/>
      <c r="B75" s="61"/>
      <c r="C75" s="62"/>
      <c r="D75" s="110" t="str">
        <f>InpAct!D$140</f>
        <v>PR19</v>
      </c>
      <c r="E75" s="110" t="str">
        <f>InpAct!E$140</f>
        <v>Proportion of capex that is subject to depreciation in year of acquisition - RCV - WR</v>
      </c>
      <c r="F75" s="174">
        <f>InpAct!F$140</f>
        <v>0</v>
      </c>
      <c r="G75" s="127" t="str">
        <f>InpAct!G$140</f>
        <v>%</v>
      </c>
      <c r="H75" s="102">
        <f>InpAct!H$140</f>
        <v>0.5</v>
      </c>
      <c r="I75" s="45"/>
      <c r="J75" s="110"/>
      <c r="K75" s="111"/>
    </row>
    <row r="76" spans="1:21" s="120" customFormat="1" ht="12.75" customHeight="1" outlineLevel="2">
      <c r="A76" s="25"/>
      <c r="B76" s="25"/>
      <c r="C76" s="26"/>
      <c r="D76" s="144" t="str">
        <f>D$66</f>
        <v>PR19</v>
      </c>
      <c r="E76" s="144" t="str">
        <f t="shared" ref="E76:H76" si="4">E$66</f>
        <v>Water resources: Non-PAYG Totex - 2017/18 year average CPIH deflated</v>
      </c>
      <c r="F76" s="145">
        <f t="shared" si="4"/>
        <v>0</v>
      </c>
      <c r="G76" s="145" t="str">
        <f t="shared" si="4"/>
        <v>£m</v>
      </c>
      <c r="H76" s="85">
        <f t="shared" si="4"/>
        <v>41.375444266499997</v>
      </c>
      <c r="I76" s="45"/>
      <c r="J76" s="110"/>
      <c r="K76" s="189"/>
    </row>
    <row r="77" spans="1:21" s="42" customFormat="1" ht="12.75" customHeight="1" outlineLevel="2">
      <c r="A77" s="51"/>
      <c r="B77" s="51"/>
      <c r="C77" s="147"/>
      <c r="D77" s="741" t="str">
        <f>InpC!$F$27</f>
        <v>PR19</v>
      </c>
      <c r="E77" s="86" t="s">
        <v>521</v>
      </c>
      <c r="F77" s="127"/>
      <c r="G77" s="127" t="s">
        <v>2</v>
      </c>
      <c r="H77" s="112">
        <f>$H75 * H76</f>
        <v>20.687722133249999</v>
      </c>
      <c r="I77" s="45"/>
      <c r="J77" s="110"/>
      <c r="K77" s="148"/>
    </row>
    <row r="78" spans="1:21" s="42" customFormat="1" ht="12.75" customHeight="1" outlineLevel="2">
      <c r="A78" s="51"/>
      <c r="B78" s="51"/>
      <c r="C78" s="147"/>
      <c r="D78" s="110"/>
      <c r="E78" s="110"/>
      <c r="F78" s="127"/>
      <c r="G78" s="127"/>
      <c r="H78" s="112"/>
      <c r="I78" s="45"/>
      <c r="J78" s="110"/>
      <c r="K78" s="148"/>
    </row>
    <row r="79" spans="1:21" s="42" customFormat="1" ht="12.75" customHeight="1" outlineLevel="2">
      <c r="A79" s="51"/>
      <c r="B79" s="51"/>
      <c r="C79" s="147"/>
      <c r="D79" s="144" t="str">
        <f>D$77</f>
        <v>PR19</v>
      </c>
      <c r="E79" s="144" t="str">
        <f t="shared" ref="E79:H79" si="5">E$77</f>
        <v>Non-PAYG Totex depreciated in year of acquisition - 2017/18 year average CPIH deflated - WR</v>
      </c>
      <c r="F79" s="145">
        <f t="shared" si="5"/>
        <v>0</v>
      </c>
      <c r="G79" s="145" t="str">
        <f t="shared" si="5"/>
        <v>£m</v>
      </c>
      <c r="H79" s="85">
        <f t="shared" si="5"/>
        <v>20.687722133249999</v>
      </c>
      <c r="I79" s="45"/>
      <c r="J79" s="110"/>
      <c r="K79" s="148"/>
    </row>
    <row r="80" spans="1:21" s="42" customFormat="1" ht="12.75" customHeight="1" outlineLevel="2">
      <c r="A80" s="51"/>
      <c r="B80" s="51"/>
      <c r="C80" s="147"/>
      <c r="D80" s="110" t="str">
        <f>InpAct!D$147</f>
        <v>PR19</v>
      </c>
      <c r="E80" s="110" t="str">
        <f>InpAct!E$147</f>
        <v>Run-off rate - RCV additions - active - WR</v>
      </c>
      <c r="F80" s="127">
        <f>InpAct!F$147</f>
        <v>0</v>
      </c>
      <c r="G80" s="127" t="str">
        <f>InpAct!G$147</f>
        <v>%</v>
      </c>
      <c r="H80" s="102">
        <f>InpAct!H$147</f>
        <v>4.4337374717674384E-2</v>
      </c>
      <c r="I80" s="45"/>
      <c r="J80" s="110"/>
      <c r="K80" s="148"/>
    </row>
    <row r="81" spans="1:21" s="120" customFormat="1" ht="12.75" customHeight="1" outlineLevel="2">
      <c r="A81" s="25"/>
      <c r="B81" s="25"/>
      <c r="C81" s="26"/>
      <c r="D81" s="741" t="str">
        <f>InpC!$F$27</f>
        <v>PR19</v>
      </c>
      <c r="E81" s="144" t="s">
        <v>522</v>
      </c>
      <c r="F81" s="145"/>
      <c r="G81" s="145" t="s">
        <v>2</v>
      </c>
      <c r="H81" s="85">
        <f>H79 * H80</f>
        <v>0.91723928827703127</v>
      </c>
      <c r="I81" s="45"/>
      <c r="J81" s="196"/>
      <c r="K81" s="189"/>
    </row>
    <row r="82" spans="1:21" s="120" customFormat="1" ht="12.75" customHeight="1" outlineLevel="2">
      <c r="A82" s="25"/>
      <c r="B82" s="25"/>
      <c r="C82" s="26"/>
      <c r="D82" s="86"/>
      <c r="E82" s="144"/>
      <c r="F82" s="145"/>
      <c r="G82" s="145"/>
      <c r="H82" s="85"/>
      <c r="I82" s="57"/>
      <c r="J82" s="144"/>
      <c r="K82" s="189"/>
    </row>
    <row r="83" spans="1:21" s="42" customFormat="1" ht="12.75" customHeight="1" outlineLevel="2">
      <c r="A83" s="51"/>
      <c r="B83" s="51"/>
      <c r="C83" s="147"/>
      <c r="D83" s="144" t="str">
        <f>D$71</f>
        <v>PR19</v>
      </c>
      <c r="E83" s="144" t="str">
        <f t="shared" ref="E83:H83" si="6">E$71</f>
        <v>RCV additions BEG plus Indexation - WR - 2017/18 year average CPIH deflated</v>
      </c>
      <c r="F83" s="145">
        <f t="shared" si="6"/>
        <v>0</v>
      </c>
      <c r="G83" s="145" t="str">
        <f t="shared" si="6"/>
        <v>£m</v>
      </c>
      <c r="H83" s="85">
        <f t="shared" si="6"/>
        <v>153.10286480404369</v>
      </c>
      <c r="I83" s="57"/>
      <c r="J83" s="110"/>
      <c r="K83" s="148"/>
    </row>
    <row r="84" spans="1:21" s="42" customFormat="1" ht="12.75" customHeight="1" outlineLevel="2">
      <c r="A84" s="51"/>
      <c r="B84" s="51"/>
      <c r="C84" s="147"/>
      <c r="D84" s="110" t="str">
        <f>InpAct!D$147</f>
        <v>PR19</v>
      </c>
      <c r="E84" s="110" t="str">
        <f>InpAct!E$147</f>
        <v>Run-off rate - RCV additions - active - WR</v>
      </c>
      <c r="F84" s="127">
        <f>InpAct!F$147</f>
        <v>0</v>
      </c>
      <c r="G84" s="127" t="str">
        <f>InpAct!G$147</f>
        <v>%</v>
      </c>
      <c r="H84" s="102">
        <f>InpAct!H$147</f>
        <v>4.4337374717674384E-2</v>
      </c>
      <c r="I84" s="57"/>
      <c r="J84" s="110"/>
      <c r="K84" s="148"/>
    </row>
    <row r="85" spans="1:21" ht="12.75" customHeight="1" outlineLevel="2">
      <c r="A85" s="25"/>
      <c r="B85" s="25"/>
      <c r="C85" s="26"/>
      <c r="D85" s="618" t="str">
        <f>InpC!D$57</f>
        <v>PR19</v>
      </c>
      <c r="E85" s="144" t="s">
        <v>625</v>
      </c>
      <c r="F85" s="125"/>
      <c r="G85" s="125" t="s">
        <v>2</v>
      </c>
      <c r="H85" s="85">
        <f>H83 * H84</f>
        <v>6.7881790871663261</v>
      </c>
      <c r="J85" s="110"/>
      <c r="K85" s="117"/>
    </row>
    <row r="86" spans="1:21" ht="12.75" customHeight="1" outlineLevel="2">
      <c r="A86" s="25"/>
      <c r="B86" s="25"/>
      <c r="C86" s="26"/>
      <c r="D86" s="86"/>
      <c r="E86" s="144"/>
      <c r="F86" s="125"/>
      <c r="G86" s="125"/>
      <c r="H86" s="85"/>
      <c r="I86" s="179"/>
      <c r="J86" s="86"/>
      <c r="K86" s="117"/>
    </row>
    <row r="87" spans="1:21" ht="12.75" customHeight="1" outlineLevel="2">
      <c r="A87" s="25"/>
      <c r="B87" s="25"/>
      <c r="C87" s="26"/>
      <c r="D87" s="86" t="str">
        <f>D$79</f>
        <v>PR19</v>
      </c>
      <c r="E87" s="86" t="str">
        <f t="shared" ref="E87:H87" si="7">E$79</f>
        <v>Non-PAYG Totex depreciated in year of acquisition - 2017/18 year average CPIH deflated - WR</v>
      </c>
      <c r="F87" s="145">
        <f t="shared" si="7"/>
        <v>0</v>
      </c>
      <c r="G87" s="145" t="str">
        <f t="shared" si="7"/>
        <v>£m</v>
      </c>
      <c r="H87" s="85">
        <f t="shared" si="7"/>
        <v>20.687722133249999</v>
      </c>
      <c r="I87" s="179"/>
      <c r="J87" s="86"/>
      <c r="K87" s="117"/>
    </row>
    <row r="88" spans="1:21" ht="12.75" customHeight="1" outlineLevel="2">
      <c r="A88" s="25"/>
      <c r="B88" s="18"/>
      <c r="C88" s="19"/>
      <c r="D88" s="87" t="str">
        <f>D$71</f>
        <v>PR19</v>
      </c>
      <c r="E88" s="87" t="str">
        <f t="shared" ref="E88:H88" si="8">E$71</f>
        <v>RCV additions BEG plus Indexation - WR - 2017/18 year average CPIH deflated</v>
      </c>
      <c r="F88" s="145">
        <f t="shared" si="8"/>
        <v>0</v>
      </c>
      <c r="G88" s="145" t="str">
        <f t="shared" si="8"/>
        <v>£m</v>
      </c>
      <c r="H88" s="85">
        <f t="shared" si="8"/>
        <v>153.10286480404369</v>
      </c>
      <c r="I88" s="179"/>
      <c r="J88" s="87"/>
      <c r="K88" s="82"/>
    </row>
    <row r="89" spans="1:21" ht="12.75" customHeight="1" outlineLevel="2">
      <c r="A89" s="25"/>
      <c r="B89" s="18"/>
      <c r="C89" s="19"/>
      <c r="D89" s="744" t="str">
        <f>InpC!$F$27</f>
        <v>PR19</v>
      </c>
      <c r="E89" s="191" t="s">
        <v>523</v>
      </c>
      <c r="F89" s="192"/>
      <c r="G89" s="192" t="s">
        <v>2</v>
      </c>
      <c r="H89" s="98">
        <f>SUM(H87:H88)</f>
        <v>173.79058693729368</v>
      </c>
      <c r="J89" s="87"/>
      <c r="K89" s="82"/>
    </row>
    <row r="90" spans="1:21" ht="12.75" customHeight="1" outlineLevel="2">
      <c r="A90" s="25"/>
      <c r="B90" s="18"/>
      <c r="C90" s="19"/>
      <c r="D90" s="86"/>
      <c r="E90" s="198"/>
      <c r="F90" s="199"/>
      <c r="G90" s="199"/>
      <c r="H90" s="52"/>
      <c r="J90" s="87"/>
      <c r="K90" s="82"/>
    </row>
    <row r="91" spans="1:21" ht="12.75" customHeight="1" outlineLevel="2">
      <c r="A91" s="25"/>
      <c r="B91" s="18"/>
      <c r="C91" s="19"/>
      <c r="D91" s="87" t="str">
        <f>D$81</f>
        <v>PR19</v>
      </c>
      <c r="E91" s="87" t="str">
        <f t="shared" ref="E91:H91" si="9">E$81</f>
        <v>RCV post 2020 additions depreciation -  2017/18 year average CPIH deflated -WR</v>
      </c>
      <c r="F91" s="145">
        <f t="shared" si="9"/>
        <v>0</v>
      </c>
      <c r="G91" s="145" t="str">
        <f t="shared" si="9"/>
        <v>£m</v>
      </c>
      <c r="H91" s="85">
        <f t="shared" si="9"/>
        <v>0.91723928827703127</v>
      </c>
      <c r="I91" s="179"/>
      <c r="J91" s="110"/>
      <c r="K91" s="82"/>
    </row>
    <row r="92" spans="1:21" ht="12.75" customHeight="1" outlineLevel="2">
      <c r="A92" s="25"/>
      <c r="B92" s="18"/>
      <c r="C92" s="19"/>
      <c r="D92" s="87" t="str">
        <f>D$85</f>
        <v>PR19</v>
      </c>
      <c r="E92" s="87" t="str">
        <f t="shared" ref="E92:H92" si="10">E$85</f>
        <v>RCV additions plus Indexation depreciation -  2017/18 year average CPIH deflated - WR</v>
      </c>
      <c r="F92" s="145">
        <f t="shared" si="10"/>
        <v>0</v>
      </c>
      <c r="G92" s="145" t="str">
        <f t="shared" si="10"/>
        <v>£m</v>
      </c>
      <c r="H92" s="85">
        <f t="shared" si="10"/>
        <v>6.7881790871663261</v>
      </c>
      <c r="I92" s="179"/>
      <c r="J92" s="110"/>
      <c r="K92" s="82"/>
    </row>
    <row r="93" spans="1:21" ht="12.75" customHeight="1" outlineLevel="2">
      <c r="A93" s="25"/>
      <c r="B93" s="18"/>
      <c r="C93" s="19"/>
      <c r="D93" s="744" t="str">
        <f>InpC!$F$27</f>
        <v>PR19</v>
      </c>
      <c r="E93" s="180" t="s">
        <v>524</v>
      </c>
      <c r="F93" s="192"/>
      <c r="G93" s="192" t="s">
        <v>2</v>
      </c>
      <c r="H93" s="98">
        <f>SUM(H91:H92)</f>
        <v>7.7054183754433572</v>
      </c>
      <c r="I93" s="57"/>
      <c r="J93" s="110"/>
      <c r="K93" s="82"/>
    </row>
    <row r="94" spans="1:21" ht="12.75" customHeight="1" outlineLevel="2">
      <c r="A94" s="25"/>
      <c r="B94" s="18"/>
      <c r="C94" s="19"/>
      <c r="D94" s="87"/>
      <c r="E94" s="87"/>
      <c r="F94" s="21"/>
      <c r="G94" s="21"/>
      <c r="H94" s="59"/>
      <c r="I94" s="179"/>
      <c r="J94" s="87"/>
      <c r="K94" s="82"/>
    </row>
    <row r="95" spans="1:21" customFormat="1" ht="12.75" customHeight="1" outlineLevel="2">
      <c r="A95" s="163"/>
      <c r="B95" s="106"/>
      <c r="C95" s="107" t="str">
        <f>InpC!$F$27 &amp; " Water network"</f>
        <v>PR19 Water network</v>
      </c>
      <c r="D95" s="165"/>
      <c r="E95" s="109"/>
      <c r="F95" s="108"/>
      <c r="G95" s="108"/>
      <c r="H95" s="109"/>
      <c r="I95" s="57"/>
      <c r="J95" s="109"/>
      <c r="K95" s="109"/>
      <c r="L95" s="109"/>
      <c r="M95" s="109"/>
      <c r="N95" s="109"/>
      <c r="O95" s="109"/>
      <c r="P95" s="109"/>
      <c r="Q95" s="109"/>
      <c r="R95" s="109"/>
      <c r="S95" s="109"/>
      <c r="T95" s="109"/>
      <c r="U95" s="109"/>
    </row>
    <row r="96" spans="1:21" ht="12.75" customHeight="1" outlineLevel="2">
      <c r="A96" s="25"/>
      <c r="B96" s="25"/>
      <c r="C96" s="26"/>
      <c r="D96" s="618" t="str">
        <f>InpC!D$57</f>
        <v>PR19</v>
      </c>
      <c r="E96" s="618" t="str">
        <f>InpC!E$57</f>
        <v>CPI(H): Fin year average - inflate from base year 2017-18 average</v>
      </c>
      <c r="F96" s="727">
        <f>InpC!F$57</f>
        <v>1.1476732911210807</v>
      </c>
      <c r="G96" s="714" t="str">
        <f>InpC!G$57</f>
        <v>factor</v>
      </c>
      <c r="H96" s="714">
        <f>InpC!H$57</f>
        <v>0</v>
      </c>
      <c r="I96" s="83"/>
      <c r="J96" s="83"/>
      <c r="K96" s="83"/>
    </row>
    <row r="97" spans="1:11" ht="12.75" customHeight="1" outlineLevel="2">
      <c r="A97" s="25"/>
      <c r="B97" s="25"/>
      <c r="C97" s="26"/>
      <c r="D97" s="110" t="str">
        <f>InpAct!D$150</f>
        <v>PR19</v>
      </c>
      <c r="E97" s="110" t="str">
        <f>InpAct!E$150</f>
        <v>RCV CPI(H) bf balance BEG - WN - nominal</v>
      </c>
      <c r="F97" s="127">
        <f>InpAct!F$150</f>
        <v>0</v>
      </c>
      <c r="G97" s="127" t="str">
        <f>InpAct!G$150</f>
        <v>£m</v>
      </c>
      <c r="H97" s="112">
        <f>InpAct!H$150</f>
        <v>2759.9548919172926</v>
      </c>
      <c r="J97" s="83"/>
      <c r="K97" s="83"/>
    </row>
    <row r="98" spans="1:11" ht="12.75" customHeight="1" outlineLevel="2">
      <c r="A98" s="25"/>
      <c r="B98" s="25"/>
      <c r="C98" s="26"/>
      <c r="D98" s="110" t="str">
        <f>InpAct!D$151</f>
        <v>PR19</v>
      </c>
      <c r="E98" s="110" t="str">
        <f>InpAct!E$151</f>
        <v>Indexation on RCV - CPI(H) bf balance - WN - nominal</v>
      </c>
      <c r="F98" s="127">
        <f>InpAct!F$151</f>
        <v>0</v>
      </c>
      <c r="G98" s="127" t="str">
        <f>InpAct!G$151</f>
        <v>£m</v>
      </c>
      <c r="H98" s="112">
        <f>InpAct!H$151</f>
        <v>55.199097838346511</v>
      </c>
      <c r="J98" s="146"/>
      <c r="K98" s="83"/>
    </row>
    <row r="99" spans="1:11" s="120" customFormat="1" ht="12.75" customHeight="1" outlineLevel="2">
      <c r="A99" s="25"/>
      <c r="B99" s="25"/>
      <c r="C99" s="26"/>
      <c r="D99" s="741" t="str">
        <f>InpC!$F$27</f>
        <v>PR19</v>
      </c>
      <c r="E99" s="144" t="s">
        <v>525</v>
      </c>
      <c r="F99" s="145"/>
      <c r="G99" s="145" t="s">
        <v>2</v>
      </c>
      <c r="H99" s="114">
        <f>SUM(H97:H98) / $F96</f>
        <v>2452.9228061112362</v>
      </c>
      <c r="I99" s="45"/>
      <c r="J99" s="146"/>
      <c r="K99" s="146"/>
    </row>
    <row r="100" spans="1:11" s="120" customFormat="1" ht="12.75" customHeight="1" outlineLevel="2">
      <c r="A100" s="25"/>
      <c r="B100" s="25"/>
      <c r="C100" s="26"/>
      <c r="D100" s="86"/>
      <c r="E100" s="144"/>
      <c r="F100" s="145"/>
      <c r="G100" s="145"/>
      <c r="H100" s="114"/>
      <c r="I100" s="45"/>
      <c r="J100" s="146"/>
      <c r="K100" s="146"/>
    </row>
    <row r="101" spans="1:11" ht="12.75" customHeight="1" outlineLevel="2">
      <c r="A101" s="25"/>
      <c r="B101" s="25"/>
      <c r="C101" s="26"/>
      <c r="D101" s="618" t="str">
        <f>InpC!D$57</f>
        <v>PR19</v>
      </c>
      <c r="E101" s="618" t="str">
        <f>InpC!E$57</f>
        <v>CPI(H): Fin year average - inflate from base year 2017-18 average</v>
      </c>
      <c r="F101" s="727">
        <f>InpC!F$57</f>
        <v>1.1476732911210807</v>
      </c>
      <c r="G101" s="714" t="str">
        <f>InpC!G$57</f>
        <v>factor</v>
      </c>
      <c r="H101" s="714">
        <f>InpC!H$57</f>
        <v>0</v>
      </c>
      <c r="J101" s="83"/>
      <c r="K101" s="83"/>
    </row>
    <row r="102" spans="1:11" s="42" customFormat="1" ht="12.75" customHeight="1" outlineLevel="2">
      <c r="A102" s="51"/>
      <c r="B102" s="51"/>
      <c r="C102" s="147"/>
      <c r="D102" s="110" t="str">
        <f>InpAct!D152</f>
        <v>PR19</v>
      </c>
      <c r="E102" s="110" t="str">
        <f>InpAct!E152</f>
        <v>RCV - CPI(H) bf depreciation - WN - nominal</v>
      </c>
      <c r="F102" s="127">
        <f>InpAct!F152</f>
        <v>0</v>
      </c>
      <c r="G102" s="127" t="str">
        <f>InpAct!G152</f>
        <v>£m</v>
      </c>
      <c r="H102" s="112">
        <f>InpAct!H152</f>
        <v>122.41558383985145</v>
      </c>
      <c r="I102" s="45"/>
      <c r="J102" s="110"/>
      <c r="K102" s="111"/>
    </row>
    <row r="103" spans="1:11" s="42" customFormat="1" ht="12.75" customHeight="1" outlineLevel="2">
      <c r="A103" s="51"/>
      <c r="B103" s="51"/>
      <c r="C103" s="147"/>
      <c r="D103" s="741" t="str">
        <f>InpC!$F$27</f>
        <v>PR19</v>
      </c>
      <c r="E103" s="86" t="s">
        <v>600</v>
      </c>
      <c r="F103" s="145"/>
      <c r="G103" s="145" t="s">
        <v>2</v>
      </c>
      <c r="H103" s="85">
        <f>H102 / $F101</f>
        <v>106.66413933905558</v>
      </c>
      <c r="I103" s="45"/>
      <c r="J103" s="110"/>
      <c r="K103" s="111"/>
    </row>
    <row r="104" spans="1:11" s="42" customFormat="1" ht="12.75" customHeight="1" outlineLevel="2">
      <c r="A104" s="51"/>
      <c r="B104" s="51"/>
      <c r="C104" s="147"/>
      <c r="D104" s="86"/>
      <c r="E104" s="86"/>
      <c r="F104" s="145"/>
      <c r="G104" s="145"/>
      <c r="H104" s="85"/>
      <c r="I104" s="45"/>
      <c r="J104" s="110"/>
      <c r="K104" s="111"/>
    </row>
    <row r="105" spans="1:11" ht="12.75" customHeight="1" outlineLevel="2">
      <c r="A105" s="25"/>
      <c r="B105" s="25"/>
      <c r="C105" s="26"/>
      <c r="D105" s="618" t="str">
        <f>InpC!D$57</f>
        <v>PR19</v>
      </c>
      <c r="E105" s="618" t="str">
        <f>InpC!E$57</f>
        <v>CPI(H): Fin year average - inflate from base year 2017-18 average</v>
      </c>
      <c r="F105" s="727">
        <f>InpC!F$57</f>
        <v>1.1476732911210807</v>
      </c>
      <c r="G105" s="714" t="str">
        <f>InpC!G$57</f>
        <v>factor</v>
      </c>
      <c r="H105" s="714">
        <f>InpC!H$57</f>
        <v>0</v>
      </c>
      <c r="J105" s="83"/>
      <c r="K105" s="83"/>
    </row>
    <row r="106" spans="1:11" ht="12.75" customHeight="1" outlineLevel="2">
      <c r="A106" s="25"/>
      <c r="B106" s="25"/>
      <c r="C106" s="26"/>
      <c r="D106" s="110" t="str">
        <f>InpAct!D$153</f>
        <v>PR19</v>
      </c>
      <c r="E106" s="110" t="str">
        <f>InpAct!E$153</f>
        <v>RCV CPI(H) + RPI wedge bf balance BEG - WN - nominal</v>
      </c>
      <c r="F106" s="127">
        <f>InpAct!F$153</f>
        <v>0</v>
      </c>
      <c r="G106" s="127" t="str">
        <f>InpAct!G$153</f>
        <v>£m</v>
      </c>
      <c r="H106" s="112">
        <f>InpAct!H$153</f>
        <v>2939.5228049682587</v>
      </c>
      <c r="J106" s="83"/>
      <c r="K106" s="83"/>
    </row>
    <row r="107" spans="1:11" ht="12.75" customHeight="1" outlineLevel="2">
      <c r="A107" s="25"/>
      <c r="B107" s="25"/>
      <c r="C107" s="26"/>
      <c r="D107" s="110" t="str">
        <f>InpAct!D$154</f>
        <v>PR19</v>
      </c>
      <c r="E107" s="110" t="str">
        <f>InpAct!E$154</f>
        <v>Indexation on RCV - CPI(H) + RPI wedge bf balance - WN - nominal</v>
      </c>
      <c r="F107" s="127">
        <f>InpAct!F$154</f>
        <v>0</v>
      </c>
      <c r="G107" s="127" t="str">
        <f>InpAct!G$154</f>
        <v>£m</v>
      </c>
      <c r="H107" s="112">
        <f>InpAct!H$154</f>
        <v>88.185684149047844</v>
      </c>
      <c r="J107" s="146"/>
      <c r="K107" s="83"/>
    </row>
    <row r="108" spans="1:11" s="120" customFormat="1" ht="12.75" customHeight="1" outlineLevel="2">
      <c r="A108" s="25"/>
      <c r="B108" s="25"/>
      <c r="C108" s="26"/>
      <c r="D108" s="741" t="str">
        <f>InpC!$F$27</f>
        <v>PR19</v>
      </c>
      <c r="E108" s="144" t="s">
        <v>527</v>
      </c>
      <c r="F108" s="145"/>
      <c r="G108" s="145" t="s">
        <v>2</v>
      </c>
      <c r="H108" s="114">
        <f>SUM(H106:H107) / $F105</f>
        <v>2638.1275163768537</v>
      </c>
      <c r="I108" s="45"/>
      <c r="J108" s="146"/>
      <c r="K108" s="146"/>
    </row>
    <row r="109" spans="1:11" s="120" customFormat="1" ht="12.75" customHeight="1" outlineLevel="2">
      <c r="A109" s="25"/>
      <c r="B109" s="25"/>
      <c r="C109" s="26"/>
      <c r="D109" s="86"/>
      <c r="E109" s="144"/>
      <c r="F109" s="145"/>
      <c r="G109" s="145"/>
      <c r="H109" s="114"/>
      <c r="I109" s="45"/>
      <c r="J109" s="146"/>
      <c r="K109" s="146"/>
    </row>
    <row r="110" spans="1:11" ht="12.75" customHeight="1" outlineLevel="2">
      <c r="A110" s="25"/>
      <c r="B110" s="25"/>
      <c r="C110" s="26"/>
      <c r="D110" s="618" t="str">
        <f>InpC!D$57</f>
        <v>PR19</v>
      </c>
      <c r="E110" s="618" t="str">
        <f>InpC!E$57</f>
        <v>CPI(H): Fin year average - inflate from base year 2017-18 average</v>
      </c>
      <c r="F110" s="727">
        <f>InpC!F$57</f>
        <v>1.1476732911210807</v>
      </c>
      <c r="G110" s="714" t="str">
        <f>InpC!G$57</f>
        <v>factor</v>
      </c>
      <c r="H110" s="714">
        <f>InpC!H$57</f>
        <v>0</v>
      </c>
      <c r="J110" s="83"/>
      <c r="K110" s="83"/>
    </row>
    <row r="111" spans="1:11" s="42" customFormat="1" ht="12.75" customHeight="1" outlineLevel="2">
      <c r="A111" s="51"/>
      <c r="B111" s="51"/>
      <c r="C111" s="147"/>
      <c r="D111" s="110" t="str">
        <f>InpAct!D155</f>
        <v>PR19</v>
      </c>
      <c r="E111" s="110" t="str">
        <f>InpAct!E155</f>
        <v>RCV - CPI(H) + RPI wedge bf depreciation - WN - nominal</v>
      </c>
      <c r="F111" s="127">
        <f>InpAct!F155</f>
        <v>0</v>
      </c>
      <c r="G111" s="127" t="str">
        <f>InpAct!G155</f>
        <v>£m</v>
      </c>
      <c r="H111" s="112">
        <f>InpAct!H155</f>
        <v>136.58678924143979</v>
      </c>
      <c r="I111" s="45"/>
      <c r="J111" s="110"/>
      <c r="K111" s="111"/>
    </row>
    <row r="112" spans="1:11" s="42" customFormat="1" ht="12.75" customHeight="1" outlineLevel="2">
      <c r="A112" s="51"/>
      <c r="B112" s="51"/>
      <c r="C112" s="147"/>
      <c r="D112" s="741" t="str">
        <f>InpC!$F$27</f>
        <v>PR19</v>
      </c>
      <c r="E112" s="86" t="s">
        <v>526</v>
      </c>
      <c r="F112" s="145"/>
      <c r="G112" s="145" t="s">
        <v>2</v>
      </c>
      <c r="H112" s="85">
        <f>H111 / $F110</f>
        <v>119.01190896236491</v>
      </c>
      <c r="I112" s="45"/>
      <c r="J112" s="110"/>
      <c r="K112" s="111"/>
    </row>
    <row r="113" spans="1:21" s="42" customFormat="1" ht="12.75" customHeight="1" outlineLevel="2">
      <c r="A113" s="51"/>
      <c r="B113" s="51"/>
      <c r="C113" s="147"/>
      <c r="D113" s="86"/>
      <c r="E113" s="86"/>
      <c r="F113" s="145"/>
      <c r="G113" s="145"/>
      <c r="H113" s="85"/>
      <c r="I113" s="45"/>
      <c r="J113" s="110"/>
      <c r="K113" s="111"/>
    </row>
    <row r="114" spans="1:21" ht="12.75" customHeight="1" outlineLevel="2">
      <c r="A114" s="25"/>
      <c r="B114" s="25"/>
      <c r="C114" s="26"/>
      <c r="D114" s="618" t="str">
        <f>InpC!D$57</f>
        <v>PR19</v>
      </c>
      <c r="E114" s="618" t="str">
        <f>InpC!E$57</f>
        <v>CPI(H): Fin year average - inflate from base year 2017-18 average</v>
      </c>
      <c r="F114" s="727">
        <f>InpC!F$57</f>
        <v>1.1476732911210807</v>
      </c>
      <c r="G114" s="714" t="str">
        <f>InpC!G$57</f>
        <v>factor</v>
      </c>
      <c r="H114" s="714">
        <f>InpC!H$57</f>
        <v>0</v>
      </c>
      <c r="J114" s="83"/>
      <c r="K114" s="83"/>
    </row>
    <row r="115" spans="1:21" s="42" customFormat="1" ht="12.75" customHeight="1" outlineLevel="2">
      <c r="A115" s="51"/>
      <c r="B115" s="51"/>
      <c r="C115" s="147"/>
      <c r="D115" s="110" t="str">
        <f>InpAct!D161</f>
        <v>PR19</v>
      </c>
      <c r="E115" s="110" t="str">
        <f>InpAct!E161</f>
        <v>Water network: Non-PAYG Totex - nominal</v>
      </c>
      <c r="F115" s="127">
        <f>InpAct!F161</f>
        <v>0</v>
      </c>
      <c r="G115" s="127" t="str">
        <f>InpAct!G161</f>
        <v>£m</v>
      </c>
      <c r="H115" s="112">
        <f>InpAct!H161</f>
        <v>602.30021400200656</v>
      </c>
      <c r="I115" s="45"/>
      <c r="J115" s="110"/>
      <c r="K115" s="148"/>
    </row>
    <row r="116" spans="1:21" s="42" customFormat="1" ht="12.75" customHeight="1" outlineLevel="2">
      <c r="A116" s="51"/>
      <c r="B116" s="51"/>
      <c r="C116" s="147"/>
      <c r="D116" s="741" t="str">
        <f>InpC!$F$27</f>
        <v>PR19</v>
      </c>
      <c r="E116" s="86" t="s">
        <v>528</v>
      </c>
      <c r="F116" s="145"/>
      <c r="G116" s="145" t="s">
        <v>2</v>
      </c>
      <c r="H116" s="85">
        <f>H115 / $F114</f>
        <v>524.80110730263846</v>
      </c>
      <c r="I116" s="45"/>
      <c r="J116" s="110"/>
      <c r="K116" s="111"/>
    </row>
    <row r="117" spans="1:21" s="42" customFormat="1" ht="12.75" customHeight="1" outlineLevel="2">
      <c r="A117" s="51"/>
      <c r="B117" s="51"/>
      <c r="C117" s="147"/>
      <c r="D117" s="110"/>
      <c r="E117" s="110"/>
      <c r="F117" s="127"/>
      <c r="G117" s="127"/>
      <c r="H117" s="112"/>
      <c r="I117" s="45"/>
      <c r="J117" s="110"/>
      <c r="K117" s="111"/>
    </row>
    <row r="118" spans="1:21" ht="12.75" customHeight="1" outlineLevel="2">
      <c r="A118" s="25"/>
      <c r="B118" s="25"/>
      <c r="C118" s="26"/>
      <c r="D118" s="618" t="str">
        <f>InpC!D$57</f>
        <v>PR19</v>
      </c>
      <c r="E118" s="618" t="str">
        <f>InpC!E$57</f>
        <v>CPI(H): Fin year average - inflate from base year 2017-18 average</v>
      </c>
      <c r="F118" s="727">
        <f>InpC!F$57</f>
        <v>1.1476732911210807</v>
      </c>
      <c r="G118" s="714" t="str">
        <f>InpC!G$57</f>
        <v>factor</v>
      </c>
      <c r="H118" s="714">
        <f>InpC!H$57</f>
        <v>0</v>
      </c>
      <c r="J118" s="83"/>
      <c r="K118" s="83"/>
    </row>
    <row r="119" spans="1:21" ht="12.75" customHeight="1" outlineLevel="2">
      <c r="A119" s="25"/>
      <c r="B119" s="18"/>
      <c r="C119" s="19"/>
      <c r="D119" s="745" t="str">
        <f>InpAct!D$159</f>
        <v>PR19</v>
      </c>
      <c r="E119" s="593" t="str">
        <f>InpAct!E$159</f>
        <v>RCV additions balance BEG - WN - nominal</v>
      </c>
      <c r="F119" s="593">
        <f>InpAct!F$159</f>
        <v>0</v>
      </c>
      <c r="G119" s="594" t="str">
        <f>InpAct!G$159</f>
        <v>£m</v>
      </c>
      <c r="H119" s="593">
        <f>InpAct!H$159</f>
        <v>2307.407006641924</v>
      </c>
      <c r="J119" s="83"/>
      <c r="K119" s="83"/>
    </row>
    <row r="120" spans="1:21" s="42" customFormat="1" ht="12.75" customHeight="1" outlineLevel="2">
      <c r="A120" s="51"/>
      <c r="B120" s="51"/>
      <c r="C120" s="147"/>
      <c r="D120" s="110" t="str">
        <f>InpAct!D$160</f>
        <v>PR19</v>
      </c>
      <c r="E120" s="110" t="str">
        <f>InpAct!E$160</f>
        <v>Indexation of RCV additions b/f - WN - nominal</v>
      </c>
      <c r="F120" s="127">
        <f>InpAct!F$160</f>
        <v>0</v>
      </c>
      <c r="G120" s="127" t="str">
        <f>InpAct!G$160</f>
        <v>£m</v>
      </c>
      <c r="H120" s="112">
        <f>InpAct!H$160</f>
        <v>46.148140132839032</v>
      </c>
      <c r="I120" s="45"/>
      <c r="J120" s="110"/>
      <c r="K120" s="148"/>
    </row>
    <row r="121" spans="1:21" s="42" customFormat="1" ht="12.75" customHeight="1" outlineLevel="2">
      <c r="A121" s="51"/>
      <c r="B121" s="61"/>
      <c r="C121" s="62"/>
      <c r="D121" s="741" t="str">
        <f>InpC!$F$27</f>
        <v>PR19</v>
      </c>
      <c r="E121" s="86" t="s">
        <v>621</v>
      </c>
      <c r="F121" s="145"/>
      <c r="G121" s="145" t="s">
        <v>2</v>
      </c>
      <c r="H121" s="85">
        <f>SUM(H119:H120) / $F$46</f>
        <v>2050.718758537756</v>
      </c>
      <c r="I121" s="45"/>
      <c r="J121" s="110"/>
      <c r="K121" s="111"/>
    </row>
    <row r="122" spans="1:21" s="42" customFormat="1" ht="12.75" customHeight="1" outlineLevel="2">
      <c r="A122" s="51"/>
      <c r="B122" s="61"/>
      <c r="C122" s="62"/>
      <c r="D122" s="86"/>
      <c r="E122" s="86"/>
      <c r="F122" s="145"/>
      <c r="G122" s="145"/>
      <c r="H122" s="85"/>
      <c r="I122" s="45"/>
      <c r="J122" s="110"/>
      <c r="K122" s="111"/>
    </row>
    <row r="123" spans="1:21" customFormat="1" ht="14.4" outlineLevel="2">
      <c r="A123" s="106"/>
      <c r="B123" s="270" t="s">
        <v>362</v>
      </c>
      <c r="C123" s="164"/>
      <c r="D123" s="165"/>
      <c r="F123" s="274"/>
      <c r="G123" s="274"/>
      <c r="H123" s="271"/>
      <c r="I123" s="45"/>
      <c r="J123" s="271"/>
      <c r="K123" s="271"/>
      <c r="L123" s="271"/>
      <c r="M123" s="271"/>
      <c r="N123" s="271"/>
      <c r="O123" s="271"/>
      <c r="P123" s="271"/>
      <c r="Q123" s="271"/>
      <c r="R123" s="271"/>
      <c r="S123" s="271"/>
      <c r="T123" s="271"/>
      <c r="U123" s="271"/>
    </row>
    <row r="124" spans="1:21" customFormat="1" ht="14.4" outlineLevel="2">
      <c r="A124" s="106"/>
      <c r="B124" s="270"/>
      <c r="C124" s="164"/>
      <c r="D124" s="751" t="str">
        <f>InpAct!D$157</f>
        <v>PR19</v>
      </c>
      <c r="E124" s="751" t="str">
        <f>InpAct!E$157</f>
        <v>RCV run off rate ~ CPI/CPI(H) linked RCV - Method used to apply run off rate (straight line or reducing balance) ~ water network plus CPI(H) linked - RCV additions depreciation</v>
      </c>
      <c r="F124" s="232" t="str">
        <f>InpAct!F$157</f>
        <v>Reducing balance</v>
      </c>
      <c r="G124" s="232" t="str">
        <f>InpAct!G$157</f>
        <v>switch</v>
      </c>
      <c r="H124" s="752" t="str">
        <f>InpAct!H$157</f>
        <v>for info</v>
      </c>
      <c r="I124" s="45"/>
      <c r="J124" s="574"/>
      <c r="K124" s="271"/>
      <c r="L124" s="271"/>
      <c r="M124" s="271"/>
      <c r="N124" s="271"/>
      <c r="O124" s="271"/>
      <c r="P124" s="271"/>
      <c r="Q124" s="271"/>
      <c r="R124" s="271"/>
      <c r="S124" s="271"/>
      <c r="T124" s="271"/>
      <c r="U124" s="271"/>
    </row>
    <row r="125" spans="1:21" s="42" customFormat="1" ht="12.75" customHeight="1" outlineLevel="2">
      <c r="A125" s="51"/>
      <c r="B125" s="61"/>
      <c r="C125" s="62"/>
      <c r="D125" s="110" t="str">
        <f>InpAct!D$158</f>
        <v>PR19</v>
      </c>
      <c r="E125" s="110" t="str">
        <f>InpAct!E$158</f>
        <v>Proportion of capex that is subject to depreciation in year of acquisition - RCV - WN</v>
      </c>
      <c r="F125" s="127">
        <f>InpAct!F$158</f>
        <v>0</v>
      </c>
      <c r="G125" s="127" t="str">
        <f>InpAct!G$158</f>
        <v>%</v>
      </c>
      <c r="H125" s="102">
        <f>InpAct!H$158</f>
        <v>0.5</v>
      </c>
      <c r="I125" s="45"/>
      <c r="J125" s="110"/>
      <c r="K125" s="111"/>
    </row>
    <row r="126" spans="1:21" s="120" customFormat="1" ht="12.75" customHeight="1" outlineLevel="2">
      <c r="A126" s="25"/>
      <c r="B126" s="25"/>
      <c r="C126" s="26"/>
      <c r="D126" s="144" t="str">
        <f>D$116</f>
        <v>PR19</v>
      </c>
      <c r="E126" s="144" t="str">
        <f t="shared" ref="E126:H126" si="11">E$116</f>
        <v>Water network: Non-PAYG Totex - 2017/18 year average CPIH deflated</v>
      </c>
      <c r="F126" s="145">
        <f t="shared" si="11"/>
        <v>0</v>
      </c>
      <c r="G126" s="145" t="str">
        <f t="shared" si="11"/>
        <v>£m</v>
      </c>
      <c r="H126" s="85">
        <f t="shared" si="11"/>
        <v>524.80110730263846</v>
      </c>
      <c r="I126" s="45"/>
      <c r="J126" s="110"/>
      <c r="K126" s="189"/>
    </row>
    <row r="127" spans="1:21" s="120" customFormat="1" ht="12.75" customHeight="1" outlineLevel="2">
      <c r="A127" s="25"/>
      <c r="B127" s="25"/>
      <c r="C127" s="26"/>
      <c r="D127" s="741" t="str">
        <f>InpC!$F$27</f>
        <v>PR19</v>
      </c>
      <c r="E127" s="86" t="s">
        <v>529</v>
      </c>
      <c r="F127" s="145"/>
      <c r="G127" s="145" t="s">
        <v>2</v>
      </c>
      <c r="H127" s="85">
        <f>H126 * $H125</f>
        <v>262.40055365131923</v>
      </c>
      <c r="I127" s="45"/>
      <c r="J127" s="144"/>
      <c r="K127" s="189"/>
    </row>
    <row r="128" spans="1:21" s="42" customFormat="1" ht="12.75" customHeight="1" outlineLevel="2">
      <c r="A128" s="51"/>
      <c r="B128" s="51"/>
      <c r="C128" s="147"/>
      <c r="D128" s="110"/>
      <c r="E128" s="110"/>
      <c r="F128" s="127"/>
      <c r="G128" s="127"/>
      <c r="H128" s="112"/>
      <c r="I128" s="45"/>
      <c r="J128" s="110"/>
      <c r="K128" s="148"/>
    </row>
    <row r="129" spans="1:11" s="120" customFormat="1" ht="12.75" customHeight="1" outlineLevel="2">
      <c r="A129" s="25"/>
      <c r="B129" s="25"/>
      <c r="C129" s="26"/>
      <c r="D129" s="144" t="str">
        <f>D$127</f>
        <v>PR19</v>
      </c>
      <c r="E129" s="144" t="str">
        <f t="shared" ref="E129:H129" si="12">E$127</f>
        <v>Non-PAYG Totex depreciated in year of acquisition - 2017/18 year average CPIH deflated - WN</v>
      </c>
      <c r="F129" s="145">
        <f t="shared" si="12"/>
        <v>0</v>
      </c>
      <c r="G129" s="145" t="str">
        <f t="shared" si="12"/>
        <v>£m</v>
      </c>
      <c r="H129" s="85">
        <f t="shared" si="12"/>
        <v>262.40055365131923</v>
      </c>
      <c r="I129" s="45"/>
      <c r="J129" s="144"/>
      <c r="K129" s="189"/>
    </row>
    <row r="130" spans="1:11" s="42" customFormat="1" ht="12.75" customHeight="1" outlineLevel="2">
      <c r="A130" s="51"/>
      <c r="B130" s="51"/>
      <c r="C130" s="147"/>
      <c r="D130" s="110" t="str">
        <f>InpAct!D$165</f>
        <v>PR19</v>
      </c>
      <c r="E130" s="110" t="str">
        <f>InpAct!E$165</f>
        <v>Run-off rate - RCV additions - active - WN</v>
      </c>
      <c r="F130" s="127">
        <f>InpAct!F$165</f>
        <v>0</v>
      </c>
      <c r="G130" s="127" t="str">
        <f>InpAct!G$165</f>
        <v>%</v>
      </c>
      <c r="H130" s="102">
        <f>InpAct!H$165</f>
        <v>4.3484507165619517E-2</v>
      </c>
      <c r="I130" s="45"/>
      <c r="J130" s="110"/>
      <c r="K130" s="148"/>
    </row>
    <row r="131" spans="1:11" s="120" customFormat="1" ht="12.75" customHeight="1" outlineLevel="2">
      <c r="A131" s="25"/>
      <c r="B131" s="25"/>
      <c r="C131" s="26"/>
      <c r="D131" s="741" t="str">
        <f>InpC!$F$27</f>
        <v>PR19</v>
      </c>
      <c r="E131" s="144" t="s">
        <v>530</v>
      </c>
      <c r="F131" s="145"/>
      <c r="G131" s="145" t="s">
        <v>2</v>
      </c>
      <c r="H131" s="85">
        <f>H129 * H130</f>
        <v>11.41035875551332</v>
      </c>
      <c r="I131" s="45"/>
      <c r="J131" s="196"/>
      <c r="K131" s="189"/>
    </row>
    <row r="132" spans="1:11" s="120" customFormat="1" ht="12.75" customHeight="1" outlineLevel="2">
      <c r="A132" s="25"/>
      <c r="B132" s="25"/>
      <c r="C132" s="26"/>
      <c r="D132" s="86"/>
      <c r="E132" s="144"/>
      <c r="F132" s="145"/>
      <c r="G132" s="145"/>
      <c r="H132" s="85"/>
      <c r="I132" s="45"/>
      <c r="J132" s="301"/>
      <c r="K132" s="189"/>
    </row>
    <row r="133" spans="1:11" s="42" customFormat="1" ht="12.75" customHeight="1" outlineLevel="2">
      <c r="A133" s="51"/>
      <c r="B133" s="51"/>
      <c r="C133" s="147"/>
      <c r="D133" s="144" t="str">
        <f>D$121</f>
        <v>PR19</v>
      </c>
      <c r="E133" s="144" t="str">
        <f t="shared" ref="E133:H133" si="13">E$121</f>
        <v>RCV additions BEG plus Indexation - WN - 2017/18 year average CPIH deflated</v>
      </c>
      <c r="F133" s="145">
        <f t="shared" si="13"/>
        <v>0</v>
      </c>
      <c r="G133" s="145" t="str">
        <f t="shared" si="13"/>
        <v>£m</v>
      </c>
      <c r="H133" s="85">
        <f t="shared" si="13"/>
        <v>2050.718758537756</v>
      </c>
      <c r="I133" s="45"/>
      <c r="J133" s="110"/>
      <c r="K133" s="148"/>
    </row>
    <row r="134" spans="1:11" s="42" customFormat="1" ht="12.75" customHeight="1" outlineLevel="2">
      <c r="A134" s="51"/>
      <c r="B134" s="51"/>
      <c r="C134" s="147"/>
      <c r="D134" s="110" t="str">
        <f>InpAct!D$165</f>
        <v>PR19</v>
      </c>
      <c r="E134" s="110" t="str">
        <f>InpAct!E$165</f>
        <v>Run-off rate - RCV additions - active - WN</v>
      </c>
      <c r="F134" s="127">
        <f>InpAct!F$165</f>
        <v>0</v>
      </c>
      <c r="G134" s="127" t="str">
        <f>InpAct!G$165</f>
        <v>%</v>
      </c>
      <c r="H134" s="102">
        <f>InpAct!H$165</f>
        <v>4.3484507165619517E-2</v>
      </c>
      <c r="I134" s="45"/>
      <c r="J134" s="110"/>
      <c r="K134" s="148"/>
    </row>
    <row r="135" spans="1:11" ht="12.75" customHeight="1" outlineLevel="2">
      <c r="A135" s="25"/>
      <c r="B135" s="25"/>
      <c r="C135" s="26"/>
      <c r="D135" s="741" t="str">
        <f>InpC!$F$27</f>
        <v>PR19</v>
      </c>
      <c r="E135" s="144" t="s">
        <v>620</v>
      </c>
      <c r="F135" s="125"/>
      <c r="G135" s="125" t="s">
        <v>2</v>
      </c>
      <c r="H135" s="85">
        <f>H133 * H134</f>
        <v>89.174494550305411</v>
      </c>
      <c r="J135" s="86"/>
      <c r="K135" s="117"/>
    </row>
    <row r="136" spans="1:11" ht="12.75" customHeight="1" outlineLevel="2">
      <c r="A136" s="25"/>
      <c r="B136" s="25"/>
      <c r="C136" s="26"/>
      <c r="D136" s="86"/>
      <c r="E136" s="144"/>
      <c r="F136" s="125"/>
      <c r="G136" s="125"/>
      <c r="H136" s="85"/>
      <c r="J136" s="86"/>
      <c r="K136" s="117"/>
    </row>
    <row r="137" spans="1:11" ht="12.75" customHeight="1" outlineLevel="2">
      <c r="A137" s="25"/>
      <c r="B137" s="25"/>
      <c r="C137" s="26"/>
      <c r="D137" s="86" t="str">
        <f>D$127</f>
        <v>PR19</v>
      </c>
      <c r="E137" s="86" t="str">
        <f t="shared" ref="E137:H137" si="14">E$127</f>
        <v>Non-PAYG Totex depreciated in year of acquisition - 2017/18 year average CPIH deflated - WN</v>
      </c>
      <c r="F137" s="145">
        <f t="shared" si="14"/>
        <v>0</v>
      </c>
      <c r="G137" s="145" t="str">
        <f t="shared" si="14"/>
        <v>£m</v>
      </c>
      <c r="H137" s="85">
        <f t="shared" si="14"/>
        <v>262.40055365131923</v>
      </c>
      <c r="J137" s="86"/>
      <c r="K137" s="117"/>
    </row>
    <row r="138" spans="1:11" ht="12.75" customHeight="1" outlineLevel="2">
      <c r="A138" s="25"/>
      <c r="B138" s="18"/>
      <c r="C138" s="19"/>
      <c r="D138" s="87" t="str">
        <f>D$133</f>
        <v>PR19</v>
      </c>
      <c r="E138" s="87" t="str">
        <f t="shared" ref="E138:H138" si="15">E$133</f>
        <v>RCV additions BEG plus Indexation - WN - 2017/18 year average CPIH deflated</v>
      </c>
      <c r="F138" s="145">
        <f t="shared" si="15"/>
        <v>0</v>
      </c>
      <c r="G138" s="145" t="str">
        <f t="shared" si="15"/>
        <v>£m</v>
      </c>
      <c r="H138" s="85">
        <f t="shared" si="15"/>
        <v>2050.718758537756</v>
      </c>
      <c r="J138" s="87"/>
      <c r="K138" s="82"/>
    </row>
    <row r="139" spans="1:11" ht="12.75" customHeight="1" outlineLevel="2">
      <c r="A139" s="25"/>
      <c r="B139" s="18"/>
      <c r="C139" s="19"/>
      <c r="D139" s="744" t="str">
        <f>InpC!$F$27</f>
        <v>PR19</v>
      </c>
      <c r="E139" s="191" t="s">
        <v>531</v>
      </c>
      <c r="F139" s="192"/>
      <c r="G139" s="192" t="s">
        <v>2</v>
      </c>
      <c r="H139" s="98">
        <f>SUM(H137:H138)</f>
        <v>2313.1193121890751</v>
      </c>
      <c r="J139" s="87"/>
      <c r="K139" s="82"/>
    </row>
    <row r="140" spans="1:11" ht="12.75" customHeight="1" outlineLevel="2">
      <c r="A140" s="25"/>
      <c r="B140" s="18"/>
      <c r="C140" s="19"/>
      <c r="D140" s="86"/>
      <c r="E140" s="198"/>
      <c r="F140" s="199"/>
      <c r="G140" s="199"/>
      <c r="H140" s="52"/>
      <c r="J140" s="87"/>
      <c r="K140" s="82"/>
    </row>
    <row r="141" spans="1:11" ht="12.75" customHeight="1" outlineLevel="2">
      <c r="A141" s="25"/>
      <c r="B141" s="18"/>
      <c r="C141" s="19"/>
      <c r="D141" s="87" t="str">
        <f>D$131</f>
        <v>PR19</v>
      </c>
      <c r="E141" s="87" t="str">
        <f t="shared" ref="E141:H141" si="16">E$131</f>
        <v>RCV post 2020 additions depreciation - 2017/18 year average CPIH deflated - WN</v>
      </c>
      <c r="F141" s="145">
        <f t="shared" si="16"/>
        <v>0</v>
      </c>
      <c r="G141" s="145" t="str">
        <f t="shared" si="16"/>
        <v>£m</v>
      </c>
      <c r="H141" s="85">
        <f t="shared" si="16"/>
        <v>11.41035875551332</v>
      </c>
      <c r="J141" s="87"/>
      <c r="K141" s="82"/>
    </row>
    <row r="142" spans="1:11" ht="12.75" customHeight="1" outlineLevel="2">
      <c r="A142" s="25"/>
      <c r="B142" s="18"/>
      <c r="C142" s="19"/>
      <c r="D142" s="87" t="str">
        <f>D$135</f>
        <v>PR19</v>
      </c>
      <c r="E142" s="87" t="str">
        <f t="shared" ref="E142:H142" si="17">E$135</f>
        <v>RCV additions BEG plus Indexation depreciation - 2017/18 year average CPIH deflated - WN</v>
      </c>
      <c r="F142" s="145">
        <f t="shared" si="17"/>
        <v>0</v>
      </c>
      <c r="G142" s="145" t="str">
        <f t="shared" si="17"/>
        <v>£m</v>
      </c>
      <c r="H142" s="85">
        <f t="shared" si="17"/>
        <v>89.174494550305411</v>
      </c>
      <c r="J142" s="87"/>
      <c r="K142" s="82"/>
    </row>
    <row r="143" spans="1:11" ht="12.75" customHeight="1" outlineLevel="2">
      <c r="A143" s="25"/>
      <c r="B143" s="18"/>
      <c r="C143" s="19"/>
      <c r="D143" s="744" t="str">
        <f>InpC!$F$27</f>
        <v>PR19</v>
      </c>
      <c r="E143" s="180" t="s">
        <v>532</v>
      </c>
      <c r="F143" s="192"/>
      <c r="G143" s="192" t="s">
        <v>2</v>
      </c>
      <c r="H143" s="98">
        <f>SUM(H141:H142)</f>
        <v>100.58485330581873</v>
      </c>
      <c r="J143" s="87"/>
      <c r="K143" s="82"/>
    </row>
    <row r="144" spans="1:11" ht="12.75" customHeight="1" outlineLevel="2">
      <c r="A144" s="25"/>
      <c r="B144" s="25"/>
      <c r="C144" s="26"/>
      <c r="D144" s="86"/>
      <c r="E144" s="86"/>
      <c r="F144" s="125"/>
      <c r="G144" s="125"/>
      <c r="H144" s="182"/>
      <c r="J144" s="117"/>
      <c r="K144" s="117"/>
    </row>
    <row r="145" spans="1:21" customFormat="1" ht="14.4" outlineLevel="2">
      <c r="A145" s="106"/>
      <c r="B145" s="270" t="s">
        <v>264</v>
      </c>
      <c r="C145" s="164"/>
      <c r="D145" s="165"/>
      <c r="F145" s="274"/>
      <c r="G145" s="274"/>
      <c r="H145" s="271"/>
      <c r="I145" s="45"/>
      <c r="J145" s="271"/>
      <c r="K145" s="271"/>
      <c r="L145" s="271"/>
      <c r="M145" s="271"/>
      <c r="N145" s="271"/>
      <c r="O145" s="271"/>
      <c r="P145" s="271"/>
      <c r="Q145" s="271"/>
      <c r="R145" s="271"/>
      <c r="S145" s="271"/>
      <c r="T145" s="271"/>
      <c r="U145" s="271"/>
    </row>
    <row r="146" spans="1:21" ht="12.75" customHeight="1" outlineLevel="2">
      <c r="A146" s="25"/>
      <c r="B146" s="18"/>
      <c r="C146" s="19"/>
      <c r="D146" s="91" t="str">
        <f>D$49</f>
        <v>PR19</v>
      </c>
      <c r="E146" s="91" t="str">
        <f t="shared" ref="E146:H146" si="18">E$49</f>
        <v>RCV CPIH BEG plus indexation - WR - 2017/18 year average CPIH deflated</v>
      </c>
      <c r="F146" s="128">
        <f t="shared" si="18"/>
        <v>0</v>
      </c>
      <c r="G146" s="128" t="str">
        <f t="shared" si="18"/>
        <v>£m</v>
      </c>
      <c r="H146" s="52">
        <f t="shared" si="18"/>
        <v>125.90699577961776</v>
      </c>
      <c r="J146" s="82"/>
      <c r="K146" s="82"/>
    </row>
    <row r="147" spans="1:21" ht="12.75" customHeight="1" outlineLevel="2">
      <c r="A147" s="25"/>
      <c r="B147" s="18"/>
      <c r="C147" s="19"/>
      <c r="D147" s="91" t="str">
        <f>D$58</f>
        <v>PR19</v>
      </c>
      <c r="E147" s="91" t="str">
        <f t="shared" ref="E147:H147" si="19">E$58</f>
        <v>RCV CPIH + RPI wedge BEG plus indexation - WR - 2017/18 year average CPIH deflated</v>
      </c>
      <c r="F147" s="128">
        <f t="shared" si="19"/>
        <v>0</v>
      </c>
      <c r="G147" s="128" t="str">
        <f t="shared" si="19"/>
        <v>£m</v>
      </c>
      <c r="H147" s="52">
        <f t="shared" si="19"/>
        <v>132.31044752227618</v>
      </c>
      <c r="J147" s="82"/>
      <c r="K147" s="82"/>
    </row>
    <row r="148" spans="1:21" ht="12.75" customHeight="1" outlineLevel="2">
      <c r="A148" s="25"/>
      <c r="B148" s="18"/>
      <c r="C148" s="19"/>
      <c r="D148" s="91" t="str">
        <f>D$89</f>
        <v>PR19</v>
      </c>
      <c r="E148" s="91" t="str">
        <f t="shared" ref="E148:H148" si="20">E$89</f>
        <v>RCV post 2020 additions plus indexation - WR - 2017/18 year average CPIH deflated</v>
      </c>
      <c r="F148" s="128">
        <f t="shared" si="20"/>
        <v>0</v>
      </c>
      <c r="G148" s="128" t="str">
        <f t="shared" si="20"/>
        <v>£m</v>
      </c>
      <c r="H148" s="52">
        <f t="shared" si="20"/>
        <v>173.79058693729368</v>
      </c>
      <c r="J148" s="82"/>
      <c r="K148" s="82"/>
    </row>
    <row r="149" spans="1:21" ht="12.75" customHeight="1" outlineLevel="2">
      <c r="A149" s="25"/>
      <c r="B149" s="18"/>
      <c r="C149" s="19"/>
      <c r="D149" s="91" t="str">
        <f>D$99</f>
        <v>PR19</v>
      </c>
      <c r="E149" s="91" t="str">
        <f t="shared" ref="E149:H149" si="21">E$99</f>
        <v>RCV CPIH BEG plus indexation - WN - 2017/18 year average CPIH deflated</v>
      </c>
      <c r="F149" s="128">
        <f t="shared" si="21"/>
        <v>0</v>
      </c>
      <c r="G149" s="128" t="str">
        <f t="shared" si="21"/>
        <v>£m</v>
      </c>
      <c r="H149" s="52">
        <f t="shared" si="21"/>
        <v>2452.9228061112362</v>
      </c>
      <c r="K149" s="82"/>
    </row>
    <row r="150" spans="1:21" ht="12.75" customHeight="1" outlineLevel="2">
      <c r="A150" s="25"/>
      <c r="B150" s="18"/>
      <c r="C150" s="19"/>
      <c r="D150" s="91" t="str">
        <f>D$108</f>
        <v>PR19</v>
      </c>
      <c r="E150" s="91" t="str">
        <f t="shared" ref="E150:H150" si="22">E$108</f>
        <v>RCV CPIH + RPI wedge BEG plus indexation - WN - 2017/18 year average CPIH deflated</v>
      </c>
      <c r="F150" s="128">
        <f t="shared" si="22"/>
        <v>0</v>
      </c>
      <c r="G150" s="128" t="str">
        <f t="shared" si="22"/>
        <v>£m</v>
      </c>
      <c r="H150" s="52">
        <f t="shared" si="22"/>
        <v>2638.1275163768537</v>
      </c>
      <c r="K150" s="82"/>
    </row>
    <row r="151" spans="1:21" ht="12.75" customHeight="1" outlineLevel="2">
      <c r="A151" s="25"/>
      <c r="B151" s="18"/>
      <c r="C151" s="19"/>
      <c r="D151" s="91" t="str">
        <f>D$139</f>
        <v>PR19</v>
      </c>
      <c r="E151" s="91" t="str">
        <f t="shared" ref="E151:H151" si="23">E$139</f>
        <v>RCV post 2020 additions - WN - 2017/18 year average CPIH deflated</v>
      </c>
      <c r="F151" s="128">
        <f t="shared" si="23"/>
        <v>0</v>
      </c>
      <c r="G151" s="128" t="str">
        <f t="shared" si="23"/>
        <v>£m</v>
      </c>
      <c r="H151" s="52">
        <f t="shared" si="23"/>
        <v>2313.1193121890751</v>
      </c>
      <c r="J151" s="82"/>
      <c r="K151" s="82"/>
    </row>
    <row r="152" spans="1:21" ht="12.75" customHeight="1" outlineLevel="2">
      <c r="A152" s="25"/>
      <c r="B152" s="18"/>
      <c r="C152" s="19"/>
      <c r="D152" s="744" t="str">
        <f>InpC!$F$27</f>
        <v>PR19</v>
      </c>
      <c r="E152" s="97" t="s">
        <v>80</v>
      </c>
      <c r="F152" s="130"/>
      <c r="G152" s="130" t="s">
        <v>2</v>
      </c>
      <c r="H152" s="185">
        <f>SUM(H146:H151)</f>
        <v>7836.177664916353</v>
      </c>
      <c r="J152" s="82"/>
      <c r="K152" s="82"/>
    </row>
    <row r="153" spans="1:21" ht="12.75" customHeight="1" outlineLevel="2">
      <c r="A153" s="25"/>
      <c r="B153" s="18"/>
      <c r="C153" s="19"/>
      <c r="D153" s="91"/>
      <c r="E153" s="91"/>
      <c r="F153" s="128"/>
      <c r="G153" s="128"/>
      <c r="H153" s="128"/>
      <c r="J153" s="82"/>
      <c r="K153" s="82"/>
    </row>
    <row r="154" spans="1:21" ht="12.75" customHeight="1" outlineLevel="2">
      <c r="A154" s="25"/>
      <c r="B154" s="18"/>
      <c r="C154" s="19"/>
      <c r="D154" s="91" t="str">
        <f>D$53</f>
        <v>PR19</v>
      </c>
      <c r="E154" s="91" t="str">
        <f t="shared" ref="E154:H154" si="24">E$53</f>
        <v>RCV CPIH depreciation - WR - 2017/18 year average CPIH deflated</v>
      </c>
      <c r="F154" s="128">
        <f t="shared" si="24"/>
        <v>0</v>
      </c>
      <c r="G154" s="128" t="str">
        <f t="shared" si="24"/>
        <v>£m</v>
      </c>
      <c r="H154" s="52">
        <f t="shared" si="24"/>
        <v>4.8988466704272238</v>
      </c>
      <c r="J154" s="91"/>
      <c r="K154" s="82"/>
    </row>
    <row r="155" spans="1:21" ht="12.75" customHeight="1" outlineLevel="2">
      <c r="A155" s="25"/>
      <c r="B155" s="18"/>
      <c r="C155" s="19"/>
      <c r="D155" s="91" t="str">
        <f>D$62</f>
        <v>PR19</v>
      </c>
      <c r="E155" s="91" t="str">
        <f t="shared" ref="E155:H155" si="25">E$62</f>
        <v>RCV CPIH + RPI wedge depreciation - WR - 2017/18 year average CPIH deflated</v>
      </c>
      <c r="F155" s="128">
        <f t="shared" si="25"/>
        <v>0</v>
      </c>
      <c r="G155" s="128" t="str">
        <f t="shared" si="25"/>
        <v>£m</v>
      </c>
      <c r="H155" s="52">
        <f t="shared" si="25"/>
        <v>5.1479950839408888</v>
      </c>
      <c r="J155" s="91"/>
      <c r="K155" s="82"/>
    </row>
    <row r="156" spans="1:21" ht="12.75" customHeight="1" outlineLevel="2">
      <c r="A156" s="25"/>
      <c r="B156" s="18"/>
      <c r="C156" s="19"/>
      <c r="D156" s="91" t="str">
        <f>D$93</f>
        <v>PR19</v>
      </c>
      <c r="E156" s="91" t="str">
        <f t="shared" ref="E156:H156" si="26">E$93</f>
        <v>RCV post 2020 additions plus indexation depreciation - WR - 2017/18 year average CPIH deflated</v>
      </c>
      <c r="F156" s="128">
        <f t="shared" si="26"/>
        <v>0</v>
      </c>
      <c r="G156" s="128" t="str">
        <f t="shared" si="26"/>
        <v>£m</v>
      </c>
      <c r="H156" s="52">
        <f t="shared" si="26"/>
        <v>7.7054183754433572</v>
      </c>
      <c r="J156" s="91"/>
      <c r="K156" s="82"/>
    </row>
    <row r="157" spans="1:21" ht="12.75" customHeight="1" outlineLevel="2">
      <c r="A157" s="25"/>
      <c r="B157" s="18"/>
      <c r="C157" s="19"/>
      <c r="D157" s="91" t="str">
        <f>D$103</f>
        <v>PR19</v>
      </c>
      <c r="E157" s="91" t="str">
        <f t="shared" ref="E157:H157" si="27">E$103</f>
        <v>PR19 RCV CPIH depreciation - WN - 2017/18 year average CPIH deflated</v>
      </c>
      <c r="F157" s="128">
        <f t="shared" si="27"/>
        <v>0</v>
      </c>
      <c r="G157" s="128" t="str">
        <f t="shared" si="27"/>
        <v>£m</v>
      </c>
      <c r="H157" s="52">
        <f t="shared" si="27"/>
        <v>106.66413933905558</v>
      </c>
      <c r="J157" s="91"/>
      <c r="K157" s="82"/>
    </row>
    <row r="158" spans="1:21" ht="12.75" customHeight="1" outlineLevel="2">
      <c r="A158" s="25"/>
      <c r="B158" s="18"/>
      <c r="C158" s="19"/>
      <c r="D158" s="91" t="str">
        <f>D$112</f>
        <v>PR19</v>
      </c>
      <c r="E158" s="91" t="str">
        <f t="shared" ref="E158:H158" si="28">E$112</f>
        <v>PR19 RCV CPIH + RPI wedge depreciation - WN - 2017/18 year average CPIH deflated</v>
      </c>
      <c r="F158" s="128">
        <f t="shared" si="28"/>
        <v>0</v>
      </c>
      <c r="G158" s="128" t="str">
        <f t="shared" si="28"/>
        <v>£m</v>
      </c>
      <c r="H158" s="52">
        <f t="shared" si="28"/>
        <v>119.01190896236491</v>
      </c>
      <c r="J158" s="91"/>
      <c r="K158" s="82"/>
    </row>
    <row r="159" spans="1:21" ht="12.75" customHeight="1" outlineLevel="2">
      <c r="A159" s="25"/>
      <c r="B159" s="18"/>
      <c r="C159" s="19"/>
      <c r="D159" s="91" t="str">
        <f>D$143</f>
        <v>PR19</v>
      </c>
      <c r="E159" s="91" t="str">
        <f t="shared" ref="E159:H159" si="29">E$143</f>
        <v>RCV post 2020 additions plus indexation depreciation - WN - 2017/18 year average CPIH deflated</v>
      </c>
      <c r="F159" s="128">
        <f t="shared" si="29"/>
        <v>0</v>
      </c>
      <c r="G159" s="128" t="str">
        <f t="shared" si="29"/>
        <v>£m</v>
      </c>
      <c r="H159" s="52">
        <f t="shared" si="29"/>
        <v>100.58485330581873</v>
      </c>
      <c r="J159" s="91"/>
      <c r="K159" s="82"/>
    </row>
    <row r="160" spans="1:21" ht="12.75" customHeight="1" outlineLevel="2">
      <c r="A160" s="25"/>
      <c r="B160" s="18"/>
      <c r="C160" s="19"/>
      <c r="D160" s="744" t="str">
        <f>InpC!$F$27</f>
        <v>PR19</v>
      </c>
      <c r="E160" s="97" t="s">
        <v>81</v>
      </c>
      <c r="F160" s="130"/>
      <c r="G160" s="130" t="s">
        <v>2</v>
      </c>
      <c r="H160" s="185">
        <f>SUM(H154:H159)</f>
        <v>344.01316173705072</v>
      </c>
      <c r="J160" s="82"/>
      <c r="K160" s="82"/>
    </row>
    <row r="161" spans="1:21" ht="12.75" customHeight="1" outlineLevel="1">
      <c r="A161" s="25"/>
      <c r="B161" s="18"/>
      <c r="C161" s="19"/>
      <c r="D161" s="91"/>
      <c r="E161" s="91"/>
      <c r="F161" s="128"/>
      <c r="G161" s="128"/>
      <c r="H161" s="184"/>
      <c r="J161" s="82"/>
      <c r="K161" s="82"/>
    </row>
    <row r="162" spans="1:21" customFormat="1" ht="14.4" outlineLevel="1">
      <c r="A162" s="106"/>
      <c r="B162" s="270" t="s">
        <v>120</v>
      </c>
      <c r="C162" s="164"/>
      <c r="D162" s="165"/>
      <c r="F162" s="274"/>
      <c r="G162" s="274"/>
      <c r="H162" s="271"/>
      <c r="I162" s="45"/>
      <c r="J162" s="271"/>
      <c r="K162" s="271"/>
      <c r="L162" s="271"/>
      <c r="M162" s="271"/>
      <c r="N162" s="271"/>
      <c r="O162" s="271"/>
      <c r="P162" s="271"/>
      <c r="Q162" s="271"/>
      <c r="R162" s="271"/>
      <c r="S162" s="271"/>
      <c r="T162" s="271"/>
      <c r="U162" s="271"/>
    </row>
    <row r="163" spans="1:21" ht="12.75" customHeight="1" outlineLevel="1">
      <c r="A163" s="25"/>
      <c r="B163" s="79"/>
      <c r="C163" s="79"/>
      <c r="D163" s="87" t="str">
        <f>D$42</f>
        <v>PR14</v>
      </c>
      <c r="E163" s="87" t="str">
        <f t="shared" ref="E163:H163" si="30">E$42</f>
        <v>RCV depreciation - 201718 year average CPIH deflated - Water</v>
      </c>
      <c r="F163" s="21">
        <f t="shared" si="30"/>
        <v>0</v>
      </c>
      <c r="G163" s="21" t="str">
        <f t="shared" si="30"/>
        <v>£m</v>
      </c>
      <c r="H163" s="59">
        <f t="shared" si="30"/>
        <v>204.46914405258198</v>
      </c>
      <c r="J163" s="82"/>
      <c r="K163" s="82"/>
    </row>
    <row r="164" spans="1:21" ht="12.75" customHeight="1" outlineLevel="1">
      <c r="A164" s="25"/>
      <c r="B164" s="18"/>
      <c r="C164" s="19"/>
      <c r="D164" s="87" t="str">
        <f>D$160</f>
        <v>PR19</v>
      </c>
      <c r="E164" s="87" t="str">
        <f t="shared" ref="E164:H164" si="31">E$160</f>
        <v>RCV depreciation - Water</v>
      </c>
      <c r="F164" s="21">
        <f t="shared" si="31"/>
        <v>0</v>
      </c>
      <c r="G164" s="21" t="str">
        <f t="shared" si="31"/>
        <v>£m</v>
      </c>
      <c r="H164" s="59">
        <f t="shared" si="31"/>
        <v>344.01316173705072</v>
      </c>
      <c r="J164" s="82"/>
      <c r="K164" s="82"/>
    </row>
    <row r="165" spans="1:21" s="79" customFormat="1" ht="12.75" customHeight="1" outlineLevel="1">
      <c r="D165" s="91"/>
      <c r="E165" s="91" t="s">
        <v>33</v>
      </c>
      <c r="F165" s="128"/>
      <c r="G165" s="128" t="s">
        <v>2</v>
      </c>
      <c r="H165" s="184">
        <f>H164 - H163</f>
        <v>139.54401768446874</v>
      </c>
      <c r="I165" s="45"/>
      <c r="J165" s="82"/>
      <c r="K165" s="82"/>
      <c r="L165" s="78"/>
      <c r="M165" s="78"/>
      <c r="N165" s="78"/>
      <c r="O165" s="78"/>
      <c r="P165" s="78"/>
      <c r="Q165" s="78"/>
      <c r="R165" s="78"/>
      <c r="S165" s="78"/>
      <c r="T165" s="78"/>
      <c r="U165" s="78"/>
    </row>
    <row r="166" spans="1:21" s="79" customFormat="1" ht="12.75" customHeight="1" outlineLevel="1">
      <c r="D166" s="91"/>
      <c r="E166" s="91"/>
      <c r="F166" s="128"/>
      <c r="G166" s="128"/>
      <c r="H166" s="184"/>
      <c r="I166" s="45"/>
      <c r="J166" s="82"/>
      <c r="K166" s="82"/>
      <c r="L166" s="78"/>
      <c r="M166" s="78"/>
      <c r="N166" s="78"/>
      <c r="O166" s="78"/>
      <c r="P166" s="78"/>
      <c r="Q166" s="78"/>
      <c r="R166" s="78"/>
      <c r="S166" s="78"/>
      <c r="T166" s="78"/>
      <c r="U166" s="78"/>
    </row>
    <row r="167" spans="1:21" customFormat="1" ht="14.4" outlineLevel="1">
      <c r="A167" s="106"/>
      <c r="B167" s="270" t="s">
        <v>402</v>
      </c>
      <c r="C167" s="164"/>
      <c r="D167" s="165"/>
      <c r="F167" s="274"/>
      <c r="G167" s="274"/>
      <c r="H167" s="271"/>
      <c r="I167" s="45"/>
      <c r="J167" s="82"/>
      <c r="K167" s="271"/>
      <c r="L167" s="271"/>
      <c r="M167" s="271"/>
      <c r="N167" s="271"/>
      <c r="O167" s="271"/>
      <c r="P167" s="271"/>
      <c r="Q167" s="271"/>
      <c r="R167" s="271"/>
      <c r="S167" s="271"/>
      <c r="T167" s="271"/>
      <c r="U167" s="271"/>
    </row>
    <row r="168" spans="1:21" ht="12.75" customHeight="1" outlineLevel="1">
      <c r="A168" s="25"/>
      <c r="B168" s="18"/>
      <c r="C168" s="19"/>
      <c r="D168" s="91" t="str">
        <f>D$152</f>
        <v>PR19</v>
      </c>
      <c r="E168" s="91" t="str">
        <f t="shared" ref="E168:H168" si="32">E$152</f>
        <v>RCV balance - Water</v>
      </c>
      <c r="F168" s="21">
        <f t="shared" si="32"/>
        <v>0</v>
      </c>
      <c r="G168" s="21" t="str">
        <f t="shared" si="32"/>
        <v>£m</v>
      </c>
      <c r="H168" s="59">
        <f t="shared" si="32"/>
        <v>7836.177664916353</v>
      </c>
      <c r="J168" s="82"/>
      <c r="K168" s="82"/>
    </row>
    <row r="169" spans="1:21" ht="12.75" customHeight="1" outlineLevel="1">
      <c r="A169" s="25"/>
      <c r="B169" s="18"/>
      <c r="C169" s="19"/>
      <c r="D169" s="91" t="str">
        <f>D$160</f>
        <v>PR19</v>
      </c>
      <c r="E169" s="91" t="str">
        <f t="shared" ref="E169:H169" si="33">E$160</f>
        <v>RCV depreciation - Water</v>
      </c>
      <c r="F169" s="21">
        <f t="shared" si="33"/>
        <v>0</v>
      </c>
      <c r="G169" s="21" t="str">
        <f t="shared" si="33"/>
        <v>£m</v>
      </c>
      <c r="H169" s="59">
        <f t="shared" si="33"/>
        <v>344.01316173705072</v>
      </c>
      <c r="J169" s="82"/>
      <c r="K169" s="82"/>
    </row>
    <row r="170" spans="1:21" ht="12.75" customHeight="1" outlineLevel="1">
      <c r="A170" s="25"/>
      <c r="B170" s="18"/>
      <c r="C170" s="19"/>
      <c r="D170" s="741" t="str">
        <f>InpC!$F$27</f>
        <v>PR19</v>
      </c>
      <c r="E170" s="91" t="s">
        <v>46</v>
      </c>
      <c r="F170" s="128"/>
      <c r="G170" s="128" t="s">
        <v>3</v>
      </c>
      <c r="H170" s="186">
        <f xml:space="preserve"> IFERROR( H169 / H168, 0)</f>
        <v>4.3900633248432464E-2</v>
      </c>
      <c r="J170" s="82"/>
      <c r="K170" s="82"/>
    </row>
    <row r="171" spans="1:21" ht="12.75" customHeight="1" outlineLevel="1">
      <c r="A171" s="25"/>
      <c r="B171" s="18"/>
      <c r="C171" s="19"/>
      <c r="D171" s="91"/>
      <c r="E171" s="91"/>
      <c r="F171" s="128"/>
      <c r="G171" s="128"/>
      <c r="H171" s="184"/>
      <c r="J171" s="82"/>
      <c r="K171" s="82"/>
    </row>
    <row r="172" spans="1:21" ht="12.75" customHeight="1" outlineLevel="1">
      <c r="A172" s="45"/>
      <c r="B172" s="45"/>
      <c r="C172" s="45"/>
      <c r="D172" s="87" t="str">
        <f>D$38</f>
        <v>PR14</v>
      </c>
      <c r="E172" s="87" t="str">
        <f t="shared" ref="E172:H172" si="34">E$38</f>
        <v>RCV - 201718 year average CPIH deflated - Water</v>
      </c>
      <c r="F172" s="712">
        <f t="shared" si="34"/>
        <v>0</v>
      </c>
      <c r="G172" s="712" t="str">
        <f t="shared" si="34"/>
        <v>£m</v>
      </c>
      <c r="H172" s="712">
        <f t="shared" si="34"/>
        <v>6136.0017191831539</v>
      </c>
      <c r="J172" s="82"/>
      <c r="K172" s="82"/>
    </row>
    <row r="173" spans="1:21" ht="12.75" customHeight="1" outlineLevel="1">
      <c r="A173" s="45"/>
      <c r="B173" s="45"/>
      <c r="C173" s="45"/>
      <c r="D173" s="87" t="str">
        <f>D$170</f>
        <v>PR19</v>
      </c>
      <c r="E173" s="87" t="str">
        <f t="shared" ref="E173:H173" si="35">E$170</f>
        <v>PR19 Weighted average run-off rate - water</v>
      </c>
      <c r="F173" s="88">
        <f t="shared" si="35"/>
        <v>0</v>
      </c>
      <c r="G173" s="21" t="str">
        <f t="shared" si="35"/>
        <v>%</v>
      </c>
      <c r="H173" s="88">
        <f t="shared" si="35"/>
        <v>4.3900633248432464E-2</v>
      </c>
      <c r="J173" s="82"/>
      <c r="K173" s="82"/>
    </row>
    <row r="174" spans="1:21" s="79" customFormat="1" ht="12.75" customHeight="1" outlineLevel="1">
      <c r="D174" s="92"/>
      <c r="E174" s="92" t="s">
        <v>29</v>
      </c>
      <c r="F174" s="131"/>
      <c r="G174" s="131" t="s">
        <v>2</v>
      </c>
      <c r="H174" s="187">
        <f xml:space="preserve"> H173 * H172</f>
        <v>269.3743610856107</v>
      </c>
      <c r="I174" s="82"/>
      <c r="J174" s="82"/>
      <c r="K174" s="82"/>
      <c r="L174" s="78"/>
      <c r="M174" s="78"/>
      <c r="N174" s="78"/>
      <c r="O174" s="78"/>
      <c r="P174" s="78"/>
      <c r="Q174" s="78"/>
      <c r="R174" s="78"/>
      <c r="S174" s="78"/>
      <c r="T174" s="78"/>
      <c r="U174" s="78"/>
    </row>
    <row r="175" spans="1:21" ht="12.75" customHeight="1" outlineLevel="1">
      <c r="A175" s="25"/>
      <c r="B175" s="45"/>
      <c r="C175" s="45"/>
      <c r="D175" s="86"/>
      <c r="E175" s="86"/>
      <c r="F175" s="125"/>
      <c r="G175" s="125"/>
      <c r="H175" s="125"/>
      <c r="J175" s="82"/>
      <c r="K175" s="82"/>
    </row>
    <row r="176" spans="1:21" customFormat="1" ht="14.4" outlineLevel="1">
      <c r="A176" s="106"/>
      <c r="B176" s="270" t="s">
        <v>265</v>
      </c>
      <c r="C176" s="164"/>
      <c r="D176" s="165"/>
      <c r="F176" s="274"/>
      <c r="G176" s="274"/>
      <c r="H176" s="271"/>
      <c r="I176" s="45"/>
      <c r="J176" s="271"/>
      <c r="K176" s="271"/>
      <c r="L176" s="271"/>
      <c r="M176" s="271"/>
      <c r="N176" s="271"/>
      <c r="O176" s="271"/>
      <c r="P176" s="271"/>
      <c r="Q176" s="271"/>
      <c r="R176" s="271"/>
      <c r="S176" s="271"/>
      <c r="T176" s="271"/>
      <c r="U176" s="271"/>
    </row>
    <row r="177" spans="1:21" ht="12.75" customHeight="1" outlineLevel="1">
      <c r="A177" s="25"/>
      <c r="B177" s="79"/>
      <c r="C177" s="79"/>
      <c r="D177" s="87" t="str">
        <f>D$42</f>
        <v>PR14</v>
      </c>
      <c r="E177" s="87" t="str">
        <f t="shared" ref="E177:H177" si="36">E$42</f>
        <v>RCV depreciation - 201718 year average CPIH deflated - Water</v>
      </c>
      <c r="F177" s="21">
        <f t="shared" si="36"/>
        <v>0</v>
      </c>
      <c r="G177" s="21" t="str">
        <f t="shared" si="36"/>
        <v>£m</v>
      </c>
      <c r="H177" s="59">
        <f t="shared" si="36"/>
        <v>204.46914405258198</v>
      </c>
      <c r="J177" s="82"/>
      <c r="K177" s="82"/>
    </row>
    <row r="178" spans="1:21" ht="12.75" customHeight="1" outlineLevel="1">
      <c r="A178" s="77"/>
      <c r="B178" s="18"/>
      <c r="C178" s="19"/>
      <c r="D178" s="87"/>
      <c r="E178" s="87" t="str">
        <f>E$174</f>
        <v>PR14 RCV depreciation with PR19 run-off rate - Water</v>
      </c>
      <c r="F178" s="21">
        <f t="shared" ref="F178:H178" si="37">F$174</f>
        <v>0</v>
      </c>
      <c r="G178" s="21" t="str">
        <f t="shared" si="37"/>
        <v>£m</v>
      </c>
      <c r="H178" s="59">
        <f t="shared" si="37"/>
        <v>269.3743610856107</v>
      </c>
      <c r="J178" s="82"/>
      <c r="K178" s="82"/>
    </row>
    <row r="179" spans="1:21" ht="12.75" customHeight="1" outlineLevel="1">
      <c r="A179" s="25"/>
      <c r="B179" s="45"/>
      <c r="C179" s="45"/>
      <c r="D179" s="139"/>
      <c r="E179" s="58" t="s">
        <v>31</v>
      </c>
      <c r="F179" s="96"/>
      <c r="G179" s="96" t="s">
        <v>2</v>
      </c>
      <c r="H179" s="188">
        <f>H178 - H177</f>
        <v>64.90521703302872</v>
      </c>
      <c r="J179" s="94"/>
      <c r="K179" s="82"/>
    </row>
    <row r="180" spans="1:21" ht="12.75" customHeight="1" outlineLevel="1">
      <c r="A180" s="25"/>
      <c r="B180" s="45"/>
      <c r="C180" s="45"/>
      <c r="D180" s="86"/>
      <c r="E180" s="58"/>
      <c r="F180" s="96"/>
      <c r="G180" s="96"/>
      <c r="H180" s="188"/>
      <c r="J180" s="82"/>
      <c r="K180" s="82"/>
    </row>
    <row r="181" spans="1:21" customFormat="1" ht="14.4" outlineLevel="1">
      <c r="A181" s="106"/>
      <c r="B181" s="270" t="s">
        <v>403</v>
      </c>
      <c r="C181" s="164"/>
      <c r="D181" s="165"/>
      <c r="F181" s="274"/>
      <c r="G181" s="274"/>
      <c r="H181" s="271"/>
      <c r="I181" s="45"/>
      <c r="J181" s="271"/>
      <c r="K181" s="271"/>
      <c r="L181" s="271"/>
      <c r="M181" s="271"/>
      <c r="N181" s="271"/>
      <c r="O181" s="271"/>
      <c r="P181" s="271"/>
      <c r="Q181" s="271"/>
      <c r="R181" s="271"/>
      <c r="S181" s="271"/>
      <c r="T181" s="271"/>
      <c r="U181" s="271"/>
    </row>
    <row r="182" spans="1:21" ht="12.75" customHeight="1" outlineLevel="1">
      <c r="A182" s="25"/>
      <c r="B182" s="45"/>
      <c r="C182" s="45"/>
      <c r="D182" s="86"/>
      <c r="E182" s="58" t="str">
        <f>E$165</f>
        <v>Change in RCV depreciation - Water</v>
      </c>
      <c r="F182" s="21">
        <f t="shared" ref="F182:H182" si="38">F$165</f>
        <v>0</v>
      </c>
      <c r="G182" s="21" t="str">
        <f t="shared" si="38"/>
        <v>£m</v>
      </c>
      <c r="H182" s="59">
        <f t="shared" si="38"/>
        <v>139.54401768446874</v>
      </c>
      <c r="J182" s="82"/>
      <c r="K182" s="82"/>
    </row>
    <row r="183" spans="1:21" ht="12.75" customHeight="1" outlineLevel="1">
      <c r="A183" s="77"/>
      <c r="B183" s="45"/>
      <c r="C183" s="45"/>
      <c r="D183" s="86"/>
      <c r="E183" s="58" t="str">
        <f>E$179</f>
        <v>Change in RCV depreciation due to change in run-off rate - Water</v>
      </c>
      <c r="F183" s="21">
        <f t="shared" ref="F183:H183" si="39">F$179</f>
        <v>0</v>
      </c>
      <c r="G183" s="21" t="str">
        <f t="shared" si="39"/>
        <v>£m</v>
      </c>
      <c r="H183" s="59">
        <f t="shared" si="39"/>
        <v>64.90521703302872</v>
      </c>
      <c r="J183" s="82"/>
      <c r="K183" s="82"/>
    </row>
    <row r="184" spans="1:21" s="57" customFormat="1" ht="14.4" outlineLevel="1">
      <c r="A184" s="54"/>
      <c r="D184" s="139"/>
      <c r="E184" s="58" t="s">
        <v>32</v>
      </c>
      <c r="F184" s="96"/>
      <c r="G184" s="96" t="s">
        <v>2</v>
      </c>
      <c r="H184" s="188">
        <f>H182 - H183</f>
        <v>74.638800651440022</v>
      </c>
      <c r="I184" s="45"/>
      <c r="J184" s="573"/>
      <c r="K184" s="94"/>
    </row>
    <row r="185" spans="1:21" s="57" customFormat="1" ht="14.4">
      <c r="A185" s="54"/>
      <c r="D185" s="139"/>
      <c r="E185" s="58"/>
      <c r="F185" s="96"/>
      <c r="G185" s="96"/>
      <c r="H185" s="188"/>
      <c r="I185" s="45"/>
      <c r="J185" s="94"/>
      <c r="K185" s="94"/>
    </row>
    <row r="186" spans="1:21" customFormat="1" ht="14.4">
      <c r="A186" s="106"/>
      <c r="B186" s="270" t="s">
        <v>124</v>
      </c>
      <c r="C186" s="164"/>
      <c r="D186" s="165"/>
      <c r="F186" s="274"/>
      <c r="G186" s="274"/>
      <c r="H186" s="271"/>
      <c r="I186" s="45"/>
      <c r="J186" s="271"/>
      <c r="K186" s="271"/>
      <c r="L186" s="271"/>
      <c r="M186" s="271"/>
      <c r="N186" s="271"/>
      <c r="O186" s="271"/>
      <c r="P186" s="271"/>
      <c r="Q186" s="271"/>
      <c r="R186" s="271"/>
      <c r="S186" s="271"/>
      <c r="T186" s="271"/>
      <c r="U186" s="271"/>
    </row>
    <row r="187" spans="1:21">
      <c r="B187" s="11" t="s">
        <v>7</v>
      </c>
    </row>
    <row r="188" spans="1:21" outlineLevel="1"/>
    <row r="189" spans="1:21" customFormat="1" ht="12.75" customHeight="1" outlineLevel="1">
      <c r="A189" s="163"/>
      <c r="B189" s="106"/>
      <c r="C189" s="107" t="str">
        <f>InpC!$F$26</f>
        <v>PR14</v>
      </c>
      <c r="D189" s="165"/>
      <c r="E189" s="109"/>
      <c r="F189" s="108"/>
      <c r="G189" s="108"/>
      <c r="H189" s="109"/>
      <c r="I189" s="45"/>
      <c r="J189" s="109"/>
      <c r="K189" s="109"/>
      <c r="L189" s="109"/>
      <c r="M189" s="109"/>
      <c r="N189" s="109"/>
      <c r="O189" s="109"/>
      <c r="P189" s="109"/>
      <c r="Q189" s="109"/>
      <c r="R189" s="109"/>
      <c r="S189" s="109"/>
      <c r="T189" s="109"/>
      <c r="U189" s="109"/>
    </row>
    <row r="190" spans="1:21" ht="12.75" customHeight="1" outlineLevel="2">
      <c r="A190" s="25"/>
      <c r="B190" s="25"/>
      <c r="C190" s="26"/>
      <c r="D190" s="694" t="str">
        <f>InpC!D$55</f>
        <v>PR14</v>
      </c>
      <c r="E190" s="31" t="str">
        <f>InpC!E$55</f>
        <v>Adjustment from 2012/13 year average RPI to 2017/18 year average CPIH deflated</v>
      </c>
      <c r="F190" s="726">
        <f>InpC!F$55</f>
        <v>1.1497410673850219</v>
      </c>
      <c r="G190" s="227" t="str">
        <f>InpC!G$55</f>
        <v>factor</v>
      </c>
      <c r="H190" s="227">
        <f>InpC!H$55</f>
        <v>0</v>
      </c>
      <c r="J190" s="117"/>
      <c r="K190" s="117"/>
    </row>
    <row r="191" spans="1:21" s="42" customFormat="1" ht="12.75" customHeight="1" outlineLevel="2">
      <c r="A191" s="51"/>
      <c r="B191" s="51"/>
      <c r="C191" s="147"/>
      <c r="D191" s="692" t="str">
        <f>InpAct!D$120</f>
        <v>PR14</v>
      </c>
      <c r="E191" s="112" t="str">
        <f>InpAct!E$120</f>
        <v>RCV as at 2015 - real - Wastewater</v>
      </c>
      <c r="F191" s="183">
        <f>InpAct!F$120</f>
        <v>0</v>
      </c>
      <c r="G191" s="183" t="str">
        <f>InpAct!G$120</f>
        <v>£m</v>
      </c>
      <c r="H191" s="112">
        <f>InpAct!H$120</f>
        <v>4451.3332825968509</v>
      </c>
      <c r="I191" s="45"/>
    </row>
    <row r="192" spans="1:21" ht="12.75" customHeight="1" outlineLevel="2">
      <c r="A192" s="25"/>
      <c r="B192" s="25"/>
      <c r="C192" s="26"/>
      <c r="D192" s="730" t="str">
        <f>InpC!$F$26</f>
        <v>PR14</v>
      </c>
      <c r="E192" s="86" t="s">
        <v>69</v>
      </c>
      <c r="F192" s="126"/>
      <c r="G192" s="125" t="s">
        <v>2</v>
      </c>
      <c r="H192" s="182">
        <f xml:space="preserve"> H191 * $F190</f>
        <v>5117.8806796193767</v>
      </c>
      <c r="J192" s="117"/>
      <c r="K192" s="117"/>
    </row>
    <row r="193" spans="1:21" ht="12.75" customHeight="1" outlineLevel="2">
      <c r="A193" s="25"/>
      <c r="B193" s="25"/>
      <c r="C193" s="26"/>
      <c r="D193" s="86"/>
      <c r="E193" s="86"/>
      <c r="F193" s="126"/>
      <c r="G193" s="125"/>
      <c r="H193" s="182"/>
      <c r="J193" s="117"/>
      <c r="K193" s="117"/>
    </row>
    <row r="194" spans="1:21" ht="12.75" customHeight="1" outlineLevel="2">
      <c r="A194" s="25"/>
      <c r="B194" s="25"/>
      <c r="C194" s="26"/>
      <c r="D194" s="694" t="str">
        <f>InpC!D$55</f>
        <v>PR14</v>
      </c>
      <c r="E194" s="31" t="str">
        <f>InpC!E$55</f>
        <v>Adjustment from 2012/13 year average RPI to 2017/18 year average CPIH deflated</v>
      </c>
      <c r="F194" s="726">
        <f>InpC!F$55</f>
        <v>1.1497410673850219</v>
      </c>
      <c r="G194" s="227" t="str">
        <f>InpC!G$55</f>
        <v>factor</v>
      </c>
      <c r="H194" s="227">
        <f>InpC!H$55</f>
        <v>0</v>
      </c>
      <c r="J194" s="117"/>
      <c r="K194" s="117"/>
    </row>
    <row r="195" spans="1:21" s="42" customFormat="1" ht="12.75" customHeight="1" outlineLevel="2">
      <c r="A195" s="51"/>
      <c r="B195" s="51"/>
      <c r="C195" s="147"/>
      <c r="D195" s="743" t="str">
        <f>InpAct!D$121</f>
        <v>PR14</v>
      </c>
      <c r="E195" s="102" t="str">
        <f>InpAct!E$121</f>
        <v>Depreciation of 2015 RCV - real - wastewater</v>
      </c>
      <c r="F195" s="102">
        <f>InpAct!F$121</f>
        <v>0</v>
      </c>
      <c r="G195" s="174" t="str">
        <f>InpAct!G$121</f>
        <v>£m</v>
      </c>
      <c r="H195" s="112">
        <f>InpAct!H$121</f>
        <v>-238.25185120424146</v>
      </c>
      <c r="I195" s="45"/>
      <c r="J195" s="690"/>
      <c r="K195" s="690"/>
    </row>
    <row r="196" spans="1:21" ht="12.75" customHeight="1" outlineLevel="2">
      <c r="A196" s="25"/>
      <c r="B196" s="25"/>
      <c r="C196" s="26"/>
      <c r="D196" s="730" t="str">
        <f>InpC!$F$26</f>
        <v>PR14</v>
      </c>
      <c r="E196" s="86" t="s">
        <v>358</v>
      </c>
      <c r="F196" s="125"/>
      <c r="G196" s="125" t="s">
        <v>2</v>
      </c>
      <c r="H196" s="182">
        <f xml:space="preserve"> H195 * $F194</f>
        <v>-273.92793771002198</v>
      </c>
      <c r="J196" s="196"/>
      <c r="K196" s="117"/>
    </row>
    <row r="197" spans="1:21" ht="12.75" customHeight="1" outlineLevel="2">
      <c r="A197" s="25"/>
      <c r="B197" s="25"/>
      <c r="C197" s="26"/>
      <c r="D197" s="730" t="str">
        <f>InpC!$F$26</f>
        <v>PR14</v>
      </c>
      <c r="E197" s="86" t="s">
        <v>361</v>
      </c>
      <c r="F197" s="125"/>
      <c r="G197" s="125" t="s">
        <v>2</v>
      </c>
      <c r="H197" s="182">
        <f xml:space="preserve"> -1 * H196</f>
        <v>273.92793771002198</v>
      </c>
      <c r="J197" s="574"/>
      <c r="K197" s="117"/>
    </row>
    <row r="198" spans="1:21" ht="12.75" customHeight="1" outlineLevel="2">
      <c r="A198" s="25"/>
      <c r="B198" s="25"/>
      <c r="C198" s="26"/>
      <c r="D198" s="86"/>
      <c r="E198" s="86"/>
      <c r="F198" s="125"/>
      <c r="G198" s="125"/>
      <c r="H198" s="182"/>
      <c r="J198" s="117"/>
      <c r="K198" s="117"/>
    </row>
    <row r="199" spans="1:21" customFormat="1" ht="14.4" outlineLevel="2">
      <c r="A199" s="106"/>
      <c r="B199" s="270" t="s">
        <v>359</v>
      </c>
      <c r="C199" s="164"/>
      <c r="D199" s="165"/>
      <c r="F199" s="274"/>
      <c r="G199" s="274"/>
      <c r="H199" s="271"/>
      <c r="I199" s="45"/>
      <c r="J199" s="271"/>
      <c r="K199" s="271"/>
      <c r="L199" s="271"/>
      <c r="M199" s="271"/>
      <c r="N199" s="271"/>
      <c r="O199" s="271"/>
      <c r="P199" s="271"/>
      <c r="Q199" s="271"/>
      <c r="R199" s="271"/>
      <c r="S199" s="271"/>
      <c r="T199" s="271"/>
      <c r="U199" s="271"/>
    </row>
    <row r="200" spans="1:21" s="120" customFormat="1" ht="12.75" customHeight="1" outlineLevel="2">
      <c r="A200" s="25"/>
      <c r="B200" s="18"/>
      <c r="C200" s="19"/>
      <c r="D200" s="730" t="str">
        <f>InpAct!D$84</f>
        <v>PR14</v>
      </c>
      <c r="E200" s="730" t="str">
        <f>InpAct!E$84</f>
        <v>Proportion of capex that is subject to depreciation in year of acquisition</v>
      </c>
      <c r="F200" s="753">
        <f>InpAct!F$84</f>
        <v>0</v>
      </c>
      <c r="G200" s="753" t="str">
        <f>InpAct!G$84</f>
        <v>%</v>
      </c>
      <c r="H200" s="754">
        <f>InpAct!H$84</f>
        <v>0.5</v>
      </c>
      <c r="J200" s="85"/>
      <c r="K200" s="146"/>
    </row>
    <row r="201" spans="1:21" s="29" customFormat="1" ht="12.75" customHeight="1" outlineLevel="2">
      <c r="A201" s="48"/>
      <c r="B201" s="48"/>
      <c r="C201" s="53"/>
      <c r="D201" s="110" t="str">
        <f>InpAct!D$123</f>
        <v>PR14</v>
      </c>
      <c r="E201" s="110" t="str">
        <f>InpAct!E$123</f>
        <v>Non-PAYG Totex in year additions - real</v>
      </c>
      <c r="F201" s="127">
        <f>InpAct!F$123</f>
        <v>0</v>
      </c>
      <c r="G201" s="127" t="str">
        <f>InpAct!G$123</f>
        <v>£m</v>
      </c>
      <c r="H201" s="112">
        <f>InpAct!H$123</f>
        <v>282.9316553806807</v>
      </c>
      <c r="I201" s="45"/>
    </row>
    <row r="202" spans="1:21" s="28" customFormat="1" ht="12.75" customHeight="1" outlineLevel="2">
      <c r="A202" s="22"/>
      <c r="B202" s="22"/>
      <c r="C202" s="226"/>
      <c r="D202" s="730" t="str">
        <f>InpC!$F$26</f>
        <v>PR14</v>
      </c>
      <c r="E202" s="86" t="s">
        <v>640</v>
      </c>
      <c r="F202" s="125"/>
      <c r="G202" s="125" t="s">
        <v>2</v>
      </c>
      <c r="H202" s="85">
        <f>$H200 * H201</f>
        <v>141.46582769034035</v>
      </c>
      <c r="I202" s="271"/>
      <c r="J202" s="85"/>
      <c r="K202" s="31"/>
      <c r="L202" s="31"/>
      <c r="M202" s="31"/>
    </row>
    <row r="203" spans="1:21" ht="12.75" customHeight="1" outlineLevel="2">
      <c r="A203" s="25"/>
      <c r="B203" s="25"/>
      <c r="C203" s="26"/>
      <c r="D203" s="86"/>
      <c r="E203" s="86"/>
      <c r="F203" s="125"/>
      <c r="G203" s="125"/>
      <c r="H203" s="182"/>
      <c r="J203" s="117"/>
      <c r="K203" s="117"/>
    </row>
    <row r="204" spans="1:21" s="42" customFormat="1" ht="12.75" customHeight="1" outlineLevel="2">
      <c r="A204" s="51"/>
      <c r="B204" s="51"/>
      <c r="C204" s="147"/>
      <c r="D204" s="694" t="str">
        <f>InpC!D$55</f>
        <v>PR14</v>
      </c>
      <c r="E204" s="31" t="str">
        <f>InpC!E$55</f>
        <v>Adjustment from 2012/13 year average RPI to 2017/18 year average CPIH deflated</v>
      </c>
      <c r="F204" s="726">
        <f>InpC!F$55</f>
        <v>1.1497410673850219</v>
      </c>
      <c r="G204" s="227" t="str">
        <f>InpC!G$55</f>
        <v>factor</v>
      </c>
      <c r="H204" s="227">
        <f>InpC!H$55</f>
        <v>0</v>
      </c>
      <c r="I204" s="45"/>
      <c r="J204" s="148"/>
      <c r="K204" s="148"/>
    </row>
    <row r="205" spans="1:21" s="311" customFormat="1" ht="12.75" customHeight="1" outlineLevel="2">
      <c r="A205" s="22"/>
      <c r="B205" s="22"/>
      <c r="C205" s="226"/>
      <c r="D205" s="732" t="str">
        <f>D$202</f>
        <v>PR14</v>
      </c>
      <c r="E205" s="732" t="str">
        <f t="shared" ref="E205:H205" si="40">E$202</f>
        <v>Non-PAYG Totex depreciated in year of acquisition - Wastewater</v>
      </c>
      <c r="F205" s="125">
        <f t="shared" si="40"/>
        <v>0</v>
      </c>
      <c r="G205" s="125" t="str">
        <f t="shared" si="40"/>
        <v>£m</v>
      </c>
      <c r="H205" s="182">
        <f t="shared" si="40"/>
        <v>141.46582769034035</v>
      </c>
      <c r="I205" s="735"/>
      <c r="J205" s="85"/>
    </row>
    <row r="206" spans="1:21" s="311" customFormat="1" ht="12.75" customHeight="1" outlineLevel="2">
      <c r="A206" s="22"/>
      <c r="B206" s="22"/>
      <c r="C206" s="226"/>
      <c r="D206" s="741" t="str">
        <f>InpAct!D$129</f>
        <v>PR14</v>
      </c>
      <c r="E206" s="741" t="str">
        <f>InpAct!E$129</f>
        <v>Non-PAYG Totex balance BEG - real</v>
      </c>
      <c r="F206" s="127">
        <f>InpAct!F$129</f>
        <v>0</v>
      </c>
      <c r="G206" s="127" t="str">
        <f>InpAct!G$129</f>
        <v>£m</v>
      </c>
      <c r="H206" s="112">
        <f>InpAct!H$129</f>
        <v>1598.2722767942046</v>
      </c>
      <c r="I206" s="45"/>
    </row>
    <row r="207" spans="1:21" s="311" customFormat="1" ht="12.75" customHeight="1" outlineLevel="2">
      <c r="A207" s="22"/>
      <c r="B207" s="22"/>
      <c r="C207" s="226"/>
      <c r="D207" s="730" t="str">
        <f>InpC!$F$26</f>
        <v>PR14</v>
      </c>
      <c r="E207" s="311" t="s">
        <v>533</v>
      </c>
      <c r="F207" s="201"/>
      <c r="G207" s="201" t="s">
        <v>2</v>
      </c>
      <c r="H207" s="182">
        <f xml:space="preserve"> SUM(H205:H206) * $F204</f>
        <v>2000.2483452204553</v>
      </c>
      <c r="I207" s="45"/>
    </row>
    <row r="208" spans="1:21" s="311" customFormat="1" ht="12.75" customHeight="1" outlineLevel="2">
      <c r="A208" s="22"/>
      <c r="B208" s="22"/>
      <c r="C208" s="226"/>
      <c r="D208" s="741"/>
      <c r="F208" s="201"/>
      <c r="G208" s="201"/>
      <c r="H208" s="182"/>
      <c r="I208" s="45"/>
    </row>
    <row r="209" spans="1:21" s="28" customFormat="1" ht="12.75" customHeight="1" outlineLevel="2">
      <c r="A209" s="22"/>
      <c r="B209" s="22"/>
      <c r="C209" s="226"/>
      <c r="D209" s="86" t="str">
        <f>D$207</f>
        <v>PR14</v>
      </c>
      <c r="E209" s="86" t="str">
        <f t="shared" ref="E209:H209" si="41">E$207</f>
        <v>Non-PAYG Totex - 201718 year average CPIH deflated - Wastewater</v>
      </c>
      <c r="F209" s="125">
        <f t="shared" si="41"/>
        <v>0</v>
      </c>
      <c r="G209" s="125" t="str">
        <f t="shared" si="41"/>
        <v>£m</v>
      </c>
      <c r="H209" s="182">
        <f t="shared" si="41"/>
        <v>2000.2483452204553</v>
      </c>
      <c r="I209" s="42"/>
      <c r="J209" s="276"/>
      <c r="K209" s="31"/>
      <c r="L209" s="31"/>
      <c r="M209" s="31"/>
    </row>
    <row r="210" spans="1:21" s="120" customFormat="1" ht="12.75" customHeight="1" outlineLevel="2">
      <c r="A210" s="25"/>
      <c r="B210" s="25"/>
      <c r="C210" s="26"/>
      <c r="D210" s="703" t="str">
        <f>InpAct!D$122</f>
        <v>PR14</v>
      </c>
      <c r="E210" s="703" t="str">
        <f>InpAct!E$122</f>
        <v>RCV Additions: Average Asset Life (to 1dp) - Wastewater</v>
      </c>
      <c r="F210" s="703">
        <f>InpAct!F$122</f>
        <v>0</v>
      </c>
      <c r="G210" s="703" t="str">
        <f>InpAct!G$122</f>
        <v>years</v>
      </c>
      <c r="H210" s="703">
        <f>InpAct!H$122</f>
        <v>22.91516095975544</v>
      </c>
      <c r="I210" s="42"/>
      <c r="J210" s="85"/>
      <c r="K210" s="189"/>
    </row>
    <row r="211" spans="1:21" s="28" customFormat="1" ht="12.75" customHeight="1" outlineLevel="2">
      <c r="A211" s="22"/>
      <c r="B211" s="22"/>
      <c r="C211" s="226"/>
      <c r="D211" s="730" t="str">
        <f>InpC!$F$26</f>
        <v>PR14</v>
      </c>
      <c r="E211" s="86" t="s">
        <v>534</v>
      </c>
      <c r="F211" s="125"/>
      <c r="G211" s="125" t="s">
        <v>2</v>
      </c>
      <c r="H211" s="85">
        <f xml:space="preserve">  IFERROR( SUM(H209)  / $H$210, 0)</f>
        <v>87.289299374042145</v>
      </c>
      <c r="I211" s="42"/>
      <c r="J211" s="85"/>
      <c r="K211" s="31"/>
      <c r="L211" s="31"/>
      <c r="M211" s="31"/>
    </row>
    <row r="212" spans="1:21" ht="12.75" customHeight="1" outlineLevel="2">
      <c r="A212" s="25"/>
      <c r="B212" s="25"/>
      <c r="C212" s="26"/>
      <c r="D212" s="86"/>
      <c r="E212" s="86"/>
      <c r="F212" s="125"/>
      <c r="G212" s="125"/>
      <c r="H212" s="182"/>
      <c r="J212" s="117"/>
      <c r="K212" s="117"/>
    </row>
    <row r="213" spans="1:21" s="6" customFormat="1" ht="12.75" customHeight="1" outlineLevel="2">
      <c r="A213" s="11"/>
      <c r="B213" s="11"/>
      <c r="C213" s="12"/>
      <c r="D213" s="86" t="str">
        <f>D$192</f>
        <v>PR14</v>
      </c>
      <c r="E213" s="86" t="str">
        <f t="shared" ref="E213:H213" si="42">E$192</f>
        <v>RCV as at 2015 - 2017/18 year average CPIH deflated - Wastewater</v>
      </c>
      <c r="F213" s="125">
        <f t="shared" si="42"/>
        <v>0</v>
      </c>
      <c r="G213" s="125" t="str">
        <f t="shared" si="42"/>
        <v>£m</v>
      </c>
      <c r="H213" s="85">
        <f t="shared" si="42"/>
        <v>5117.8806796193767</v>
      </c>
      <c r="I213" s="45"/>
      <c r="J213" s="29"/>
      <c r="K213" s="29"/>
      <c r="L213" s="29"/>
      <c r="M213" s="29"/>
    </row>
    <row r="214" spans="1:21" s="6" customFormat="1" ht="12.75" customHeight="1" outlineLevel="2">
      <c r="A214" s="11"/>
      <c r="B214" s="11"/>
      <c r="C214" s="12"/>
      <c r="D214" s="86" t="str">
        <f>D$207</f>
        <v>PR14</v>
      </c>
      <c r="E214" s="86" t="str">
        <f t="shared" ref="E214:H214" si="43">E$207</f>
        <v>Non-PAYG Totex - 201718 year average CPIH deflated - Wastewater</v>
      </c>
      <c r="F214" s="182">
        <f t="shared" si="43"/>
        <v>0</v>
      </c>
      <c r="G214" s="182" t="str">
        <f t="shared" si="43"/>
        <v>£m</v>
      </c>
      <c r="H214" s="182">
        <f t="shared" si="43"/>
        <v>2000.2483452204553</v>
      </c>
      <c r="I214" s="45"/>
      <c r="J214" s="29"/>
      <c r="K214" s="29"/>
      <c r="L214" s="29"/>
      <c r="M214" s="29"/>
    </row>
    <row r="215" spans="1:21" s="6" customFormat="1" ht="12.75" customHeight="1" outlineLevel="2">
      <c r="A215" s="11"/>
      <c r="B215" s="11"/>
      <c r="C215" s="12"/>
      <c r="D215" s="744" t="str">
        <f>InpC!$F$26</f>
        <v>PR14</v>
      </c>
      <c r="E215" s="190" t="s">
        <v>535</v>
      </c>
      <c r="F215" s="202"/>
      <c r="G215" s="202" t="s">
        <v>2</v>
      </c>
      <c r="H215" s="200">
        <f>SUM(H213:H214)</f>
        <v>7118.1290248398318</v>
      </c>
      <c r="I215" s="45"/>
      <c r="J215" s="29"/>
      <c r="K215" s="29"/>
      <c r="L215" s="29"/>
      <c r="M215" s="29"/>
    </row>
    <row r="216" spans="1:21" s="6" customFormat="1" ht="12.75" customHeight="1" outlineLevel="2">
      <c r="A216" s="11"/>
      <c r="B216" s="11"/>
      <c r="C216" s="12"/>
      <c r="D216" s="86"/>
      <c r="E216" s="86"/>
      <c r="F216" s="125"/>
      <c r="G216" s="125"/>
      <c r="H216" s="85"/>
      <c r="I216" s="45"/>
      <c r="J216" s="29"/>
      <c r="K216" s="29"/>
      <c r="L216" s="29"/>
      <c r="M216" s="29"/>
    </row>
    <row r="217" spans="1:21" s="6" customFormat="1" ht="12.75" customHeight="1" outlineLevel="2">
      <c r="A217" s="11"/>
      <c r="B217" s="11"/>
      <c r="C217" s="12"/>
      <c r="D217" s="86" t="str">
        <f>D$197</f>
        <v>PR14</v>
      </c>
      <c r="E217" s="86" t="str">
        <f t="shared" ref="E217:H217" si="44">E$197</f>
        <v>Depreciation of 2015 RCV - 2017/18 year average CPIH deflated - Wastewater POS</v>
      </c>
      <c r="F217" s="125">
        <f t="shared" si="44"/>
        <v>0</v>
      </c>
      <c r="G217" s="125" t="str">
        <f t="shared" si="44"/>
        <v>£m</v>
      </c>
      <c r="H217" s="85">
        <f t="shared" si="44"/>
        <v>273.92793771002198</v>
      </c>
      <c r="I217" s="45"/>
      <c r="J217" s="29"/>
      <c r="K217" s="29"/>
      <c r="L217" s="29"/>
      <c r="M217" s="29"/>
    </row>
    <row r="218" spans="1:21" s="6" customFormat="1" ht="12.75" customHeight="1" outlineLevel="2">
      <c r="A218" s="11"/>
      <c r="B218" s="11"/>
      <c r="C218" s="12"/>
      <c r="D218" s="86" t="str">
        <f>D$211</f>
        <v>PR14</v>
      </c>
      <c r="E218" s="86" t="str">
        <f t="shared" ref="E218:H218" si="45">E$211</f>
        <v>Non-PAYG Totex depreciation - 2017/18 year average CPIH deflated - Wastewater</v>
      </c>
      <c r="F218" s="182">
        <f t="shared" si="45"/>
        <v>0</v>
      </c>
      <c r="G218" s="182" t="str">
        <f t="shared" si="45"/>
        <v>£m</v>
      </c>
      <c r="H218" s="182">
        <f t="shared" si="45"/>
        <v>87.289299374042145</v>
      </c>
      <c r="I218" s="45"/>
      <c r="J218" s="29"/>
      <c r="K218" s="29"/>
      <c r="L218" s="29"/>
      <c r="M218" s="29"/>
    </row>
    <row r="219" spans="1:21" s="6" customFormat="1" ht="12.75" customHeight="1" outlineLevel="2">
      <c r="A219" s="11"/>
      <c r="B219" s="11"/>
      <c r="C219" s="12"/>
      <c r="D219" s="744" t="str">
        <f>InpC!$F$26</f>
        <v>PR14</v>
      </c>
      <c r="E219" s="190" t="s">
        <v>536</v>
      </c>
      <c r="F219" s="202"/>
      <c r="G219" s="202" t="s">
        <v>2</v>
      </c>
      <c r="H219" s="200">
        <f>SUM(H217:H218)</f>
        <v>361.2172370840641</v>
      </c>
      <c r="I219" s="45"/>
      <c r="J219" s="29"/>
      <c r="K219" s="29"/>
      <c r="L219" s="29"/>
      <c r="M219" s="29"/>
    </row>
    <row r="220" spans="1:21" ht="12.75" customHeight="1" outlineLevel="1">
      <c r="A220" s="25"/>
      <c r="B220" s="18"/>
      <c r="C220" s="19"/>
      <c r="D220" s="86"/>
      <c r="E220" s="86"/>
      <c r="F220" s="125"/>
      <c r="G220" s="125"/>
      <c r="H220" s="182"/>
      <c r="J220" s="83"/>
      <c r="K220" s="83"/>
    </row>
    <row r="221" spans="1:21" customFormat="1" ht="14.4" outlineLevel="1">
      <c r="A221" s="106"/>
      <c r="B221" s="270"/>
      <c r="C221" s="107" t="str">
        <f>InpC!$F$27</f>
        <v>PR19</v>
      </c>
      <c r="D221" s="165"/>
      <c r="F221" s="274"/>
      <c r="G221" s="274"/>
      <c r="H221" s="271"/>
      <c r="I221" s="45"/>
      <c r="J221" s="271"/>
      <c r="K221" s="271"/>
      <c r="L221" s="271"/>
      <c r="M221" s="271"/>
      <c r="N221" s="271"/>
      <c r="O221" s="271"/>
      <c r="P221" s="271"/>
      <c r="Q221" s="271"/>
      <c r="R221" s="271"/>
      <c r="S221" s="271"/>
      <c r="T221" s="271"/>
      <c r="U221" s="271"/>
    </row>
    <row r="222" spans="1:21" customFormat="1" ht="12.75" customHeight="1" outlineLevel="2">
      <c r="A222" s="163"/>
      <c r="B222" s="106"/>
      <c r="C222" s="107" t="str">
        <f>InpC!$F$27 &amp; " Wastewater network"</f>
        <v>PR19 Wastewater network</v>
      </c>
      <c r="D222" s="165"/>
      <c r="E222" s="109"/>
      <c r="F222" s="108"/>
      <c r="G222" s="108"/>
      <c r="H222" s="109"/>
      <c r="I222" s="45"/>
      <c r="J222" s="109"/>
      <c r="K222" s="109"/>
      <c r="L222" s="109"/>
      <c r="M222" s="109"/>
      <c r="N222" s="109"/>
      <c r="O222" s="109"/>
      <c r="P222" s="109"/>
      <c r="Q222" s="109"/>
      <c r="R222" s="109"/>
      <c r="S222" s="109"/>
      <c r="T222" s="109"/>
      <c r="U222" s="109"/>
    </row>
    <row r="223" spans="1:21" ht="12.75" customHeight="1" outlineLevel="2">
      <c r="A223" s="25"/>
      <c r="B223" s="25"/>
      <c r="C223" s="26"/>
      <c r="D223" s="618" t="str">
        <f>InpC!D$57</f>
        <v>PR19</v>
      </c>
      <c r="E223" s="618" t="str">
        <f>InpC!E$57</f>
        <v>CPI(H): Fin year average - inflate from base year 2017-18 average</v>
      </c>
      <c r="F223" s="727">
        <f>InpC!F$57</f>
        <v>1.1476732911210807</v>
      </c>
      <c r="G223" s="714" t="str">
        <f>InpC!G$57</f>
        <v>factor</v>
      </c>
      <c r="H223" s="714">
        <f>InpC!H$57</f>
        <v>0</v>
      </c>
      <c r="J223" s="83"/>
      <c r="K223" s="83"/>
    </row>
    <row r="224" spans="1:21" ht="12.75" customHeight="1" outlineLevel="2">
      <c r="A224" s="25"/>
      <c r="B224" s="25"/>
      <c r="C224" s="26"/>
      <c r="D224" s="110" t="str">
        <f>InpAct!D$168</f>
        <v>PR19</v>
      </c>
      <c r="E224" s="110" t="str">
        <f>InpAct!E$168</f>
        <v>RCV CPI(H) bf balance BEG - WWN - nominal</v>
      </c>
      <c r="F224" s="127">
        <f>InpAct!F$168</f>
        <v>0</v>
      </c>
      <c r="G224" s="127" t="str">
        <f>InpAct!G$168</f>
        <v>£m</v>
      </c>
      <c r="H224" s="112">
        <f>InpAct!H$168</f>
        <v>2270.9554349450482</v>
      </c>
      <c r="J224" s="83"/>
      <c r="K224" s="83"/>
    </row>
    <row r="225" spans="1:11" ht="12.75" customHeight="1" outlineLevel="2">
      <c r="A225" s="25"/>
      <c r="B225" s="25"/>
      <c r="C225" s="26"/>
      <c r="D225" s="110" t="str">
        <f>InpAct!D$169</f>
        <v>PR19</v>
      </c>
      <c r="E225" s="110" t="str">
        <f>InpAct!E$169</f>
        <v>Indexation on RCV - CPI(H) bf balance - WWN - nominal</v>
      </c>
      <c r="F225" s="127">
        <f>InpAct!F$169</f>
        <v>0</v>
      </c>
      <c r="G225" s="127" t="str">
        <f>InpAct!G$169</f>
        <v>£m</v>
      </c>
      <c r="H225" s="112">
        <f>InpAct!H$169</f>
        <v>45.41910869890151</v>
      </c>
      <c r="J225" s="146"/>
      <c r="K225" s="83"/>
    </row>
    <row r="226" spans="1:11" s="120" customFormat="1" ht="12.75" customHeight="1" outlineLevel="2">
      <c r="A226" s="25"/>
      <c r="B226" s="25"/>
      <c r="C226" s="26"/>
      <c r="D226" s="746" t="str">
        <f>InpC!$F$27</f>
        <v>PR19</v>
      </c>
      <c r="E226" s="144" t="s">
        <v>537</v>
      </c>
      <c r="F226" s="145"/>
      <c r="G226" s="145" t="s">
        <v>2</v>
      </c>
      <c r="H226" s="85">
        <f>SUM(H224:H225) / $F223</f>
        <v>2018.3222538717857</v>
      </c>
      <c r="I226" s="45"/>
      <c r="J226" s="146"/>
      <c r="K226" s="146"/>
    </row>
    <row r="227" spans="1:11" s="120" customFormat="1" ht="12.75" customHeight="1" outlineLevel="2">
      <c r="A227" s="25"/>
      <c r="B227" s="25"/>
      <c r="C227" s="26"/>
      <c r="D227" s="86"/>
      <c r="E227" s="144"/>
      <c r="F227" s="145"/>
      <c r="G227" s="145"/>
      <c r="H227" s="85"/>
      <c r="I227" s="45"/>
      <c r="J227" s="146"/>
      <c r="K227" s="146"/>
    </row>
    <row r="228" spans="1:11" ht="12.75" customHeight="1" outlineLevel="2">
      <c r="A228" s="25"/>
      <c r="B228" s="25"/>
      <c r="C228" s="26"/>
      <c r="D228" s="618" t="str">
        <f>InpC!D$57</f>
        <v>PR19</v>
      </c>
      <c r="E228" s="618" t="str">
        <f>InpC!E$57</f>
        <v>CPI(H): Fin year average - inflate from base year 2017-18 average</v>
      </c>
      <c r="F228" s="727">
        <f>InpC!F$57</f>
        <v>1.1476732911210807</v>
      </c>
      <c r="G228" s="714" t="str">
        <f>InpC!G$57</f>
        <v>factor</v>
      </c>
      <c r="H228" s="714">
        <f>InpC!H$57</f>
        <v>0</v>
      </c>
      <c r="J228" s="83"/>
      <c r="K228" s="83"/>
    </row>
    <row r="229" spans="1:11" s="42" customFormat="1" ht="12.75" customHeight="1" outlineLevel="2">
      <c r="A229" s="51"/>
      <c r="B229" s="51"/>
      <c r="C229" s="147"/>
      <c r="D229" s="110" t="str">
        <f>InpAct!D$170</f>
        <v>PR19</v>
      </c>
      <c r="E229" s="110" t="str">
        <f>InpAct!E$170</f>
        <v>RCV - CPI(H) bf depreciation - WWN - nominal</v>
      </c>
      <c r="F229" s="127">
        <f>InpAct!F$170</f>
        <v>0</v>
      </c>
      <c r="G229" s="127" t="str">
        <f>InpAct!G$170</f>
        <v>£m</v>
      </c>
      <c r="H229" s="112">
        <f>InpAct!H$170</f>
        <v>123.24868694881808</v>
      </c>
      <c r="I229" s="45"/>
      <c r="J229" s="110"/>
      <c r="K229" s="111"/>
    </row>
    <row r="230" spans="1:11" s="42" customFormat="1" ht="12.75" customHeight="1" outlineLevel="2">
      <c r="A230" s="51"/>
      <c r="B230" s="51"/>
      <c r="C230" s="147"/>
      <c r="D230" s="746" t="str">
        <f>InpC!$F$27</f>
        <v>PR19</v>
      </c>
      <c r="E230" s="86" t="s">
        <v>538</v>
      </c>
      <c r="F230" s="145"/>
      <c r="G230" s="145" t="s">
        <v>2</v>
      </c>
      <c r="H230" s="85">
        <f>H229 / $F228</f>
        <v>107.39004549668064</v>
      </c>
      <c r="I230" s="45"/>
      <c r="J230" s="110"/>
      <c r="K230" s="111"/>
    </row>
    <row r="231" spans="1:11" ht="12.75" customHeight="1" outlineLevel="2">
      <c r="A231" s="25"/>
      <c r="B231" s="25"/>
      <c r="C231" s="26"/>
      <c r="D231" s="86"/>
      <c r="E231" s="86"/>
      <c r="F231" s="125"/>
      <c r="G231" s="125"/>
      <c r="H231" s="182"/>
      <c r="J231" s="173"/>
      <c r="K231" s="83"/>
    </row>
    <row r="232" spans="1:11" ht="12.75" customHeight="1" outlineLevel="2">
      <c r="A232" s="25"/>
      <c r="B232" s="25"/>
      <c r="C232" s="26"/>
      <c r="D232" s="618" t="str">
        <f>InpC!D$57</f>
        <v>PR19</v>
      </c>
      <c r="E232" s="618" t="str">
        <f>InpC!E$57</f>
        <v>CPI(H): Fin year average - inflate from base year 2017-18 average</v>
      </c>
      <c r="F232" s="727">
        <f>InpC!F$57</f>
        <v>1.1476732911210807</v>
      </c>
      <c r="G232" s="714" t="str">
        <f>InpC!G$57</f>
        <v>factor</v>
      </c>
      <c r="H232" s="714">
        <f>InpC!H$57</f>
        <v>0</v>
      </c>
      <c r="J232" s="83"/>
      <c r="K232" s="83"/>
    </row>
    <row r="233" spans="1:11" ht="12.75" customHeight="1" outlineLevel="2">
      <c r="A233" s="25"/>
      <c r="B233" s="25"/>
      <c r="C233" s="26"/>
      <c r="D233" s="110" t="str">
        <f>InpAct!D$171</f>
        <v>PR19</v>
      </c>
      <c r="E233" s="110" t="str">
        <f>InpAct!E$171</f>
        <v>RCV CPI(H) + RPI wedge bf balance BEG - WWN - nominal</v>
      </c>
      <c r="F233" s="127">
        <f>InpAct!F$171</f>
        <v>0</v>
      </c>
      <c r="G233" s="127" t="str">
        <f>InpAct!G$171</f>
        <v>£m</v>
      </c>
      <c r="H233" s="112">
        <f>InpAct!H$171</f>
        <v>2379.7148043291063</v>
      </c>
      <c r="J233" s="83"/>
      <c r="K233" s="83"/>
    </row>
    <row r="234" spans="1:11" ht="12.75" customHeight="1" outlineLevel="2">
      <c r="A234" s="25"/>
      <c r="B234" s="25"/>
      <c r="C234" s="26"/>
      <c r="D234" s="110" t="str">
        <f>InpAct!D$172</f>
        <v>PR19</v>
      </c>
      <c r="E234" s="110" t="str">
        <f>InpAct!E$172</f>
        <v>Indexation on RCV - CPI(H) + RPI wedge bf balance - WWN - nominal</v>
      </c>
      <c r="F234" s="127">
        <f>InpAct!F$172</f>
        <v>0</v>
      </c>
      <c r="G234" s="127" t="str">
        <f>InpAct!G$172</f>
        <v>£m</v>
      </c>
      <c r="H234" s="112">
        <f>InpAct!H$172</f>
        <v>71.39144412987325</v>
      </c>
      <c r="J234" s="146"/>
      <c r="K234" s="83"/>
    </row>
    <row r="235" spans="1:11" s="120" customFormat="1" ht="12.75" customHeight="1" outlineLevel="2">
      <c r="A235" s="25"/>
      <c r="B235" s="25"/>
      <c r="C235" s="26"/>
      <c r="D235" s="746" t="str">
        <f>InpC!$F$27</f>
        <v>PR19</v>
      </c>
      <c r="E235" s="144" t="s">
        <v>539</v>
      </c>
      <c r="F235" s="145"/>
      <c r="G235" s="145" t="s">
        <v>2</v>
      </c>
      <c r="H235" s="85">
        <f>SUM(H233:H234) / $F232</f>
        <v>2135.7177756264309</v>
      </c>
      <c r="I235" s="45"/>
      <c r="J235" s="146"/>
      <c r="K235" s="146"/>
    </row>
    <row r="236" spans="1:11" s="120" customFormat="1" ht="12.75" customHeight="1" outlineLevel="2">
      <c r="A236" s="25"/>
      <c r="B236" s="25"/>
      <c r="C236" s="26"/>
      <c r="D236" s="86"/>
      <c r="E236" s="144"/>
      <c r="F236" s="145"/>
      <c r="G236" s="145"/>
      <c r="H236" s="85"/>
      <c r="I236" s="45"/>
      <c r="J236" s="146"/>
      <c r="K236" s="146"/>
    </row>
    <row r="237" spans="1:11" ht="12.75" customHeight="1" outlineLevel="2">
      <c r="A237" s="25"/>
      <c r="B237" s="25"/>
      <c r="C237" s="26"/>
      <c r="D237" s="618" t="str">
        <f>InpC!D$57</f>
        <v>PR19</v>
      </c>
      <c r="E237" s="618" t="str">
        <f>InpC!E$57</f>
        <v>CPI(H): Fin year average - inflate from base year 2017-18 average</v>
      </c>
      <c r="F237" s="727">
        <f>InpC!F$57</f>
        <v>1.1476732911210807</v>
      </c>
      <c r="G237" s="714" t="str">
        <f>InpC!G$57</f>
        <v>factor</v>
      </c>
      <c r="H237" s="714">
        <f>InpC!H$57</f>
        <v>0</v>
      </c>
      <c r="J237" s="83"/>
      <c r="K237" s="83"/>
    </row>
    <row r="238" spans="1:11" s="42" customFormat="1" ht="12.75" customHeight="1" outlineLevel="2">
      <c r="A238" s="51"/>
      <c r="B238" s="51"/>
      <c r="C238" s="147"/>
      <c r="D238" s="110" t="str">
        <f>InpAct!D$173</f>
        <v>PR19</v>
      </c>
      <c r="E238" s="110" t="str">
        <f>InpAct!E$173</f>
        <v>RCV - CPI(H) + RPI wedge bf depreciation - WWN - nominal</v>
      </c>
      <c r="F238" s="127">
        <f>InpAct!F$173</f>
        <v>0</v>
      </c>
      <c r="G238" s="127" t="str">
        <f>InpAct!G$173</f>
        <v>£m</v>
      </c>
      <c r="H238" s="112">
        <f>InpAct!H$173</f>
        <v>126.81014271560726</v>
      </c>
      <c r="I238" s="45"/>
      <c r="J238" s="110"/>
      <c r="K238" s="111"/>
    </row>
    <row r="239" spans="1:11" s="42" customFormat="1" ht="12.75" customHeight="1" outlineLevel="2">
      <c r="A239" s="51"/>
      <c r="B239" s="51"/>
      <c r="C239" s="147"/>
      <c r="D239" s="746" t="str">
        <f>InpC!$F$27</f>
        <v>PR19</v>
      </c>
      <c r="E239" s="86" t="s">
        <v>540</v>
      </c>
      <c r="F239" s="145"/>
      <c r="G239" s="145" t="s">
        <v>2</v>
      </c>
      <c r="H239" s="85">
        <f>H238 / $F237</f>
        <v>110.49324201989175</v>
      </c>
      <c r="I239" s="45"/>
      <c r="J239" s="110"/>
      <c r="K239" s="111"/>
    </row>
    <row r="240" spans="1:11" s="42" customFormat="1" ht="12.75" customHeight="1" outlineLevel="2">
      <c r="A240" s="51"/>
      <c r="B240" s="51"/>
      <c r="C240" s="147"/>
      <c r="D240" s="110"/>
      <c r="E240" s="110"/>
      <c r="F240" s="127"/>
      <c r="G240" s="127"/>
      <c r="H240" s="112"/>
      <c r="I240" s="45"/>
      <c r="J240" s="110"/>
      <c r="K240" s="111"/>
    </row>
    <row r="241" spans="1:21" ht="12.75" customHeight="1" outlineLevel="2">
      <c r="A241" s="25"/>
      <c r="B241" s="25"/>
      <c r="C241" s="26"/>
      <c r="D241" s="618" t="str">
        <f>InpC!D$57</f>
        <v>PR19</v>
      </c>
      <c r="E241" s="618" t="str">
        <f>InpC!E$57</f>
        <v>CPI(H): Fin year average - inflate from base year 2017-18 average</v>
      </c>
      <c r="F241" s="727">
        <f>InpC!F$57</f>
        <v>1.1476732911210807</v>
      </c>
      <c r="G241" s="714" t="str">
        <f>InpC!G$57</f>
        <v>factor</v>
      </c>
      <c r="H241" s="714">
        <f>InpC!H$57</f>
        <v>0</v>
      </c>
      <c r="J241" s="83"/>
      <c r="K241" s="83"/>
    </row>
    <row r="242" spans="1:21" s="42" customFormat="1" ht="12.75" customHeight="1" outlineLevel="2">
      <c r="A242" s="51"/>
      <c r="B242" s="51"/>
      <c r="C242" s="147"/>
      <c r="D242" s="110" t="str">
        <f>InpAct!D$179</f>
        <v>PR19</v>
      </c>
      <c r="E242" s="110" t="str">
        <f>InpAct!E$179</f>
        <v>Wastewater network: Non-PAYG Totex - nominal</v>
      </c>
      <c r="F242" s="127">
        <f>InpAct!F$179</f>
        <v>0</v>
      </c>
      <c r="G242" s="127" t="str">
        <f>InpAct!G$179</f>
        <v>£m</v>
      </c>
      <c r="H242" s="112">
        <f>InpAct!H$179</f>
        <v>504.23073766607791</v>
      </c>
      <c r="I242" s="45"/>
      <c r="J242" s="110"/>
      <c r="K242" s="148"/>
    </row>
    <row r="243" spans="1:21" s="42" customFormat="1" ht="12.75" customHeight="1" outlineLevel="2">
      <c r="A243" s="51"/>
      <c r="B243" s="51"/>
      <c r="C243" s="147"/>
      <c r="D243" s="746" t="str">
        <f>InpC!$F$27</f>
        <v>PR19</v>
      </c>
      <c r="E243" s="86" t="s">
        <v>541</v>
      </c>
      <c r="F243" s="145"/>
      <c r="G243" s="145" t="s">
        <v>2</v>
      </c>
      <c r="H243" s="85">
        <f>H242 / $F241</f>
        <v>439.35041580825725</v>
      </c>
      <c r="I243" s="45"/>
      <c r="J243" s="110"/>
      <c r="K243" s="111"/>
    </row>
    <row r="244" spans="1:21" s="42" customFormat="1" ht="12.75" customHeight="1" outlineLevel="2">
      <c r="A244" s="51"/>
      <c r="B244" s="51"/>
      <c r="C244" s="147"/>
      <c r="D244" s="110"/>
      <c r="E244" s="110"/>
      <c r="F244" s="127"/>
      <c r="G244" s="127"/>
      <c r="H244" s="112"/>
      <c r="I244" s="45"/>
      <c r="J244" s="110"/>
      <c r="K244" s="111"/>
    </row>
    <row r="245" spans="1:21" ht="12.75" customHeight="1" outlineLevel="2">
      <c r="A245" s="25"/>
      <c r="B245" s="25"/>
      <c r="C245" s="26"/>
      <c r="D245" s="618" t="str">
        <f>InpC!D$57</f>
        <v>PR19</v>
      </c>
      <c r="E245" s="618" t="str">
        <f>InpC!E$57</f>
        <v>CPI(H): Fin year average - inflate from base year 2017-18 average</v>
      </c>
      <c r="F245" s="727">
        <f>InpC!F$57</f>
        <v>1.1476732911210807</v>
      </c>
      <c r="G245" s="714" t="str">
        <f>InpC!G$57</f>
        <v>factor</v>
      </c>
      <c r="H245" s="714">
        <f>InpC!H$57</f>
        <v>0</v>
      </c>
      <c r="J245" s="83"/>
      <c r="K245" s="83"/>
    </row>
    <row r="246" spans="1:21" ht="12.75" customHeight="1" outlineLevel="2">
      <c r="A246" s="25"/>
      <c r="B246" s="25"/>
      <c r="C246" s="26"/>
      <c r="D246" s="745" t="str">
        <f>InpAct!D$177</f>
        <v>PR19</v>
      </c>
      <c r="E246" s="593" t="str">
        <f>InpAct!E$177</f>
        <v>RCV additions balance BEG - WWN - nominal</v>
      </c>
      <c r="F246" s="593">
        <f>InpAct!F$177</f>
        <v>0</v>
      </c>
      <c r="G246" s="594" t="str">
        <f>InpAct!G$177</f>
        <v>£m</v>
      </c>
      <c r="H246" s="593">
        <f>InpAct!H$177</f>
        <v>1995.0656438448354</v>
      </c>
      <c r="J246" s="83"/>
      <c r="K246" s="83"/>
    </row>
    <row r="247" spans="1:21" s="42" customFormat="1" ht="12.75" customHeight="1" outlineLevel="2">
      <c r="A247" s="51"/>
      <c r="B247" s="51"/>
      <c r="C247" s="147"/>
      <c r="D247" s="110" t="str">
        <f>InpAct!D$178</f>
        <v>PR19</v>
      </c>
      <c r="E247" s="110" t="str">
        <f>InpAct!E$178</f>
        <v>Indexation of RCV additions b/f - WWN - nominal</v>
      </c>
      <c r="F247" s="127">
        <f>InpAct!F$178</f>
        <v>0</v>
      </c>
      <c r="G247" s="127" t="str">
        <f>InpAct!G$178</f>
        <v>£m</v>
      </c>
      <c r="H247" s="112">
        <f>InpAct!H$178</f>
        <v>39.901312876897187</v>
      </c>
      <c r="I247" s="45"/>
      <c r="J247" s="110"/>
      <c r="K247" s="148"/>
    </row>
    <row r="248" spans="1:21" s="42" customFormat="1" ht="12.75" customHeight="1" outlineLevel="2">
      <c r="A248" s="51"/>
      <c r="B248" s="61"/>
      <c r="C248" s="62"/>
      <c r="D248" s="746" t="str">
        <f>InpC!$F$27</f>
        <v>PR19</v>
      </c>
      <c r="E248" s="86" t="s">
        <v>622</v>
      </c>
      <c r="F248" s="145"/>
      <c r="G248" s="145" t="s">
        <v>2</v>
      </c>
      <c r="H248" s="759">
        <f xml:space="preserve"> SUM(H246:H247) / $F245</f>
        <v>1773.1239129333728</v>
      </c>
      <c r="I248" s="45"/>
      <c r="J248" s="110"/>
      <c r="K248" s="111"/>
    </row>
    <row r="249" spans="1:21" s="42" customFormat="1" ht="12.75" customHeight="1" outlineLevel="2">
      <c r="A249" s="51"/>
      <c r="B249" s="61"/>
      <c r="C249" s="62"/>
      <c r="D249" s="110"/>
      <c r="E249" s="110"/>
      <c r="F249" s="127"/>
      <c r="G249" s="127"/>
      <c r="H249" s="112"/>
      <c r="I249" s="45"/>
      <c r="J249" s="110"/>
      <c r="K249" s="111"/>
    </row>
    <row r="250" spans="1:21" customFormat="1" ht="14.4" outlineLevel="2">
      <c r="A250" s="106"/>
      <c r="B250" s="270" t="s">
        <v>362</v>
      </c>
      <c r="C250" s="164"/>
      <c r="D250" s="165"/>
      <c r="F250" s="274"/>
      <c r="G250" s="274"/>
      <c r="H250" s="271"/>
      <c r="I250" s="45"/>
      <c r="J250" s="271"/>
      <c r="K250" s="271"/>
      <c r="L250" s="271"/>
      <c r="M250" s="271"/>
      <c r="N250" s="271"/>
      <c r="O250" s="271"/>
      <c r="P250" s="271"/>
      <c r="Q250" s="271"/>
      <c r="R250" s="271"/>
      <c r="S250" s="271"/>
      <c r="T250" s="271"/>
      <c r="U250" s="271"/>
    </row>
    <row r="251" spans="1:21" customFormat="1" ht="14.4" outlineLevel="2">
      <c r="A251" s="106"/>
      <c r="B251" s="270"/>
      <c r="C251" s="164"/>
      <c r="D251" s="751" t="str">
        <f>InpAct!D$175</f>
        <v>PR19</v>
      </c>
      <c r="E251" s="751" t="str">
        <f>InpAct!E$175</f>
        <v>RCV run off rate  ~ CPI/CPI(H) linked RCV - Method used to apply run off rate (straight line or reducing balance) ~ wastewater network plus CPI(H) linked - RCV additions depreciation</v>
      </c>
      <c r="F251" s="232" t="str">
        <f>InpAct!F$175</f>
        <v>Reducing balance</v>
      </c>
      <c r="G251" s="232" t="str">
        <f>InpAct!G$175</f>
        <v>switch</v>
      </c>
      <c r="H251" s="752" t="str">
        <f>InpAct!H$175</f>
        <v>for info</v>
      </c>
      <c r="I251" s="45"/>
      <c r="J251" s="574"/>
      <c r="K251" s="271"/>
      <c r="L251" s="271"/>
      <c r="M251" s="271"/>
      <c r="N251" s="271"/>
      <c r="O251" s="271"/>
      <c r="P251" s="271"/>
      <c r="Q251" s="271"/>
      <c r="R251" s="271"/>
      <c r="S251" s="271"/>
      <c r="T251" s="271"/>
      <c r="U251" s="271"/>
    </row>
    <row r="252" spans="1:21" s="42" customFormat="1" ht="12.75" customHeight="1" outlineLevel="2">
      <c r="A252" s="51"/>
      <c r="B252" s="61"/>
      <c r="C252" s="62"/>
      <c r="D252" s="110" t="str">
        <f>InpAct!D$176</f>
        <v>PR19</v>
      </c>
      <c r="E252" s="110" t="str">
        <f>InpAct!E$176</f>
        <v>Proportion of capex that is subject to depreciation in year of acquisition - RCV - WWN</v>
      </c>
      <c r="F252" s="174">
        <f>InpAct!F$176</f>
        <v>0</v>
      </c>
      <c r="G252" s="127" t="str">
        <f>InpAct!G$176</f>
        <v>%</v>
      </c>
      <c r="H252" s="102">
        <f>InpAct!H$176</f>
        <v>0.5</v>
      </c>
      <c r="I252" s="45"/>
      <c r="J252" s="110"/>
      <c r="K252" s="111"/>
    </row>
    <row r="253" spans="1:21" s="42" customFormat="1" ht="12.75" customHeight="1" outlineLevel="2">
      <c r="A253" s="51"/>
      <c r="B253" s="51"/>
      <c r="C253" s="147"/>
      <c r="D253" s="144" t="str">
        <f>D$243</f>
        <v>PR19</v>
      </c>
      <c r="E253" s="144" t="str">
        <f t="shared" ref="E253:H253" si="46">E$243</f>
        <v>Wastewater network: Non-PAYG Totex - 2017/18 year average CPIH deflated</v>
      </c>
      <c r="F253" s="145">
        <f t="shared" si="46"/>
        <v>0</v>
      </c>
      <c r="G253" s="145" t="str">
        <f t="shared" si="46"/>
        <v>£m</v>
      </c>
      <c r="H253" s="85">
        <f t="shared" si="46"/>
        <v>439.35041580825725</v>
      </c>
      <c r="I253" s="45"/>
      <c r="J253" s="110"/>
      <c r="K253" s="148"/>
    </row>
    <row r="254" spans="1:21" s="42" customFormat="1" ht="12.75" customHeight="1" outlineLevel="2">
      <c r="A254" s="51"/>
      <c r="B254" s="51"/>
      <c r="C254" s="147"/>
      <c r="D254" s="746" t="str">
        <f>InpC!$F$27</f>
        <v>PR19</v>
      </c>
      <c r="E254" s="86" t="s">
        <v>542</v>
      </c>
      <c r="F254" s="145"/>
      <c r="G254" s="145" t="s">
        <v>2</v>
      </c>
      <c r="H254" s="85">
        <f>H253 * $H252</f>
        <v>219.67520790412863</v>
      </c>
      <c r="I254" s="45"/>
      <c r="J254" s="110"/>
      <c r="K254" s="148"/>
    </row>
    <row r="255" spans="1:21" s="42" customFormat="1" ht="12.75" customHeight="1" outlineLevel="2">
      <c r="A255" s="51"/>
      <c r="B255" s="51"/>
      <c r="C255" s="147"/>
      <c r="D255" s="144"/>
      <c r="E255" s="144"/>
      <c r="F255" s="145"/>
      <c r="G255" s="145"/>
      <c r="H255" s="85"/>
      <c r="I255" s="45"/>
      <c r="J255" s="110"/>
      <c r="K255" s="148"/>
    </row>
    <row r="256" spans="1:21" s="42" customFormat="1" ht="12.75" customHeight="1" outlineLevel="2">
      <c r="A256" s="51"/>
      <c r="B256" s="51"/>
      <c r="C256" s="147"/>
      <c r="D256" s="144" t="str">
        <f>D$254</f>
        <v>PR19</v>
      </c>
      <c r="E256" s="144" t="str">
        <f t="shared" ref="E256:H256" si="47">E$254</f>
        <v>Non-PAYG Totex depreciated in year of acquisition - 2017/18 year average CPIH deflated - WWN</v>
      </c>
      <c r="F256" s="145">
        <f t="shared" si="47"/>
        <v>0</v>
      </c>
      <c r="G256" s="145" t="str">
        <f t="shared" si="47"/>
        <v>£m</v>
      </c>
      <c r="H256" s="85">
        <f t="shared" si="47"/>
        <v>219.67520790412863</v>
      </c>
      <c r="I256" s="45"/>
      <c r="J256" s="110"/>
      <c r="K256" s="148"/>
    </row>
    <row r="257" spans="1:21" s="42" customFormat="1" ht="12.75" customHeight="1" outlineLevel="2">
      <c r="A257" s="51"/>
      <c r="B257" s="51"/>
      <c r="C257" s="147"/>
      <c r="D257" s="110" t="str">
        <f>InpAct!D$183</f>
        <v>PR19</v>
      </c>
      <c r="E257" s="110" t="str">
        <f>InpAct!E$183</f>
        <v>Run-off rate - RCV additions - active - WWN</v>
      </c>
      <c r="F257" s="127">
        <f>InpAct!F$183</f>
        <v>0</v>
      </c>
      <c r="G257" s="127" t="str">
        <f>InpAct!G$183</f>
        <v>%</v>
      </c>
      <c r="H257" s="102">
        <f>InpAct!H$183</f>
        <v>5.3207581341717006E-2</v>
      </c>
      <c r="I257" s="45"/>
      <c r="J257" s="110"/>
      <c r="K257" s="148"/>
    </row>
    <row r="258" spans="1:21" s="120" customFormat="1" ht="12.75" customHeight="1" outlineLevel="2">
      <c r="A258" s="25"/>
      <c r="B258" s="25"/>
      <c r="C258" s="26"/>
      <c r="D258" s="746" t="str">
        <f>InpC!$F$27</f>
        <v>PR19</v>
      </c>
      <c r="E258" s="144" t="s">
        <v>543</v>
      </c>
      <c r="F258" s="145"/>
      <c r="G258" s="145" t="s">
        <v>2</v>
      </c>
      <c r="H258" s="85">
        <f>H256 * H257</f>
        <v>11.688386493317518</v>
      </c>
      <c r="I258" s="45"/>
      <c r="J258" s="196"/>
      <c r="K258" s="189"/>
    </row>
    <row r="259" spans="1:21" s="120" customFormat="1" ht="12.75" customHeight="1" outlineLevel="2">
      <c r="A259" s="25"/>
      <c r="B259" s="25"/>
      <c r="C259" s="26"/>
      <c r="D259" s="86"/>
      <c r="E259" s="144"/>
      <c r="F259" s="145"/>
      <c r="G259" s="145"/>
      <c r="H259" s="85"/>
      <c r="I259" s="45"/>
      <c r="J259" s="110"/>
      <c r="K259" s="189"/>
    </row>
    <row r="260" spans="1:21" s="42" customFormat="1" ht="12.75" customHeight="1" outlineLevel="2">
      <c r="A260" s="51"/>
      <c r="B260" s="51"/>
      <c r="C260" s="147"/>
      <c r="D260" s="144" t="str">
        <f>D$248</f>
        <v>PR19</v>
      </c>
      <c r="E260" s="144" t="str">
        <f t="shared" ref="E260:H260" si="48">E$248</f>
        <v>RCV additions BEG plus Indexation  - WWN - 2017/18 year average CPIH deflated</v>
      </c>
      <c r="F260" s="145">
        <f t="shared" si="48"/>
        <v>0</v>
      </c>
      <c r="G260" s="145" t="str">
        <f t="shared" si="48"/>
        <v>£m</v>
      </c>
      <c r="H260" s="85">
        <f t="shared" si="48"/>
        <v>1773.1239129333728</v>
      </c>
      <c r="I260" s="45"/>
      <c r="J260" s="110"/>
      <c r="K260" s="148"/>
    </row>
    <row r="261" spans="1:21" s="42" customFormat="1" ht="12.75" customHeight="1" outlineLevel="2">
      <c r="A261" s="51"/>
      <c r="B261" s="51"/>
      <c r="C261" s="147"/>
      <c r="D261" s="110" t="str">
        <f>InpAct!D$183</f>
        <v>PR19</v>
      </c>
      <c r="E261" s="110" t="str">
        <f>InpAct!E$183</f>
        <v>Run-off rate - RCV additions - active - WWN</v>
      </c>
      <c r="F261" s="127">
        <f>InpAct!F$183</f>
        <v>0</v>
      </c>
      <c r="G261" s="127" t="str">
        <f>InpAct!G$183</f>
        <v>%</v>
      </c>
      <c r="H261" s="102">
        <f>InpAct!H$183</f>
        <v>5.3207581341717006E-2</v>
      </c>
      <c r="I261" s="45"/>
      <c r="J261" s="110"/>
      <c r="K261" s="148"/>
    </row>
    <row r="262" spans="1:21" ht="12.75" customHeight="1" outlineLevel="2">
      <c r="A262" s="25"/>
      <c r="B262" s="25"/>
      <c r="C262" s="26"/>
      <c r="D262" s="746" t="str">
        <f>InpC!$F$27</f>
        <v>PR19</v>
      </c>
      <c r="E262" s="144" t="s">
        <v>623</v>
      </c>
      <c r="F262" s="125"/>
      <c r="G262" s="125" t="s">
        <v>2</v>
      </c>
      <c r="H262" s="85">
        <f>H260 * H261</f>
        <v>94.343634826345976</v>
      </c>
      <c r="J262" s="86"/>
      <c r="K262" s="117"/>
    </row>
    <row r="263" spans="1:21" ht="12.75" customHeight="1" outlineLevel="2">
      <c r="A263" s="25"/>
      <c r="B263" s="25"/>
      <c r="C263" s="26"/>
      <c r="D263" s="86"/>
      <c r="E263" s="144"/>
      <c r="F263" s="125"/>
      <c r="G263" s="125"/>
      <c r="H263" s="85"/>
      <c r="J263" s="86"/>
      <c r="K263" s="117"/>
    </row>
    <row r="264" spans="1:21" ht="12.75" customHeight="1" outlineLevel="2">
      <c r="A264" s="25"/>
      <c r="B264" s="25"/>
      <c r="C264" s="26"/>
      <c r="D264" s="86" t="str">
        <f>D$254</f>
        <v>PR19</v>
      </c>
      <c r="E264" s="86" t="str">
        <f t="shared" ref="E264:H264" si="49">E$254</f>
        <v>Non-PAYG Totex depreciated in year of acquisition - 2017/18 year average CPIH deflated - WWN</v>
      </c>
      <c r="F264" s="21">
        <f t="shared" si="49"/>
        <v>0</v>
      </c>
      <c r="G264" s="21" t="str">
        <f t="shared" si="49"/>
        <v>£m</v>
      </c>
      <c r="H264" s="59">
        <f t="shared" si="49"/>
        <v>219.67520790412863</v>
      </c>
      <c r="J264" s="86"/>
      <c r="K264" s="117"/>
    </row>
    <row r="265" spans="1:21" ht="12.75" customHeight="1" outlineLevel="2">
      <c r="A265" s="25"/>
      <c r="B265" s="18"/>
      <c r="C265" s="19"/>
      <c r="D265" s="87" t="str">
        <f>D$260</f>
        <v>PR19</v>
      </c>
      <c r="E265" s="87" t="str">
        <f t="shared" ref="E265:H265" si="50">E$260</f>
        <v>RCV additions BEG plus Indexation  - WWN - 2017/18 year average CPIH deflated</v>
      </c>
      <c r="F265" s="21">
        <f t="shared" si="50"/>
        <v>0</v>
      </c>
      <c r="G265" s="21" t="str">
        <f t="shared" si="50"/>
        <v>£m</v>
      </c>
      <c r="H265" s="59">
        <f t="shared" si="50"/>
        <v>1773.1239129333728</v>
      </c>
      <c r="J265" s="87"/>
      <c r="K265" s="82"/>
    </row>
    <row r="266" spans="1:21" ht="12.75" customHeight="1" outlineLevel="2">
      <c r="A266" s="25"/>
      <c r="B266" s="18"/>
      <c r="C266" s="19"/>
      <c r="D266" s="747" t="str">
        <f>InpC!$F$27</f>
        <v>PR19</v>
      </c>
      <c r="E266" s="191" t="s">
        <v>544</v>
      </c>
      <c r="F266" s="192"/>
      <c r="G266" s="192" t="s">
        <v>2</v>
      </c>
      <c r="H266" s="98">
        <f>SUM(H264:H265)</f>
        <v>1992.7991208375015</v>
      </c>
      <c r="J266" s="87"/>
      <c r="K266" s="82"/>
    </row>
    <row r="267" spans="1:21" ht="12.75" customHeight="1" outlineLevel="2">
      <c r="A267" s="25"/>
      <c r="B267" s="18"/>
      <c r="C267" s="19"/>
      <c r="D267" s="86"/>
      <c r="E267" s="198"/>
      <c r="F267" s="199"/>
      <c r="G267" s="199"/>
      <c r="H267" s="52"/>
      <c r="J267" s="87"/>
      <c r="K267" s="82"/>
    </row>
    <row r="268" spans="1:21" ht="12.75" customHeight="1" outlineLevel="2">
      <c r="A268" s="25"/>
      <c r="B268" s="18"/>
      <c r="C268" s="19"/>
      <c r="D268" s="87" t="str">
        <f>D$258</f>
        <v>PR19</v>
      </c>
      <c r="E268" s="87" t="str">
        <f t="shared" ref="E268:H268" si="51">E$258</f>
        <v>RCV post 2020 additions depreciation - 2017/18 year average CPIH deflated - WWN</v>
      </c>
      <c r="F268" s="21">
        <f t="shared" si="51"/>
        <v>0</v>
      </c>
      <c r="G268" s="21" t="str">
        <f t="shared" si="51"/>
        <v>£m</v>
      </c>
      <c r="H268" s="59">
        <f t="shared" si="51"/>
        <v>11.688386493317518</v>
      </c>
      <c r="J268" s="87"/>
      <c r="K268" s="82"/>
    </row>
    <row r="269" spans="1:21" ht="12.75" customHeight="1" outlineLevel="2">
      <c r="A269" s="25"/>
      <c r="B269" s="18"/>
      <c r="C269" s="19"/>
      <c r="D269" s="87" t="str">
        <f>D$262</f>
        <v>PR19</v>
      </c>
      <c r="E269" s="87" t="str">
        <f t="shared" ref="E269:H269" si="52">E$262</f>
        <v>RCV additions BEG plus Indexation depreciation - 2017/18 year average CPIH deflated - WWN</v>
      </c>
      <c r="F269" s="21">
        <f t="shared" si="52"/>
        <v>0</v>
      </c>
      <c r="G269" s="21" t="str">
        <f t="shared" si="52"/>
        <v>£m</v>
      </c>
      <c r="H269" s="59">
        <f t="shared" si="52"/>
        <v>94.343634826345976</v>
      </c>
      <c r="J269" s="87"/>
      <c r="K269" s="82"/>
    </row>
    <row r="270" spans="1:21" ht="12.75" customHeight="1" outlineLevel="2">
      <c r="A270" s="25"/>
      <c r="B270" s="18"/>
      <c r="C270" s="19"/>
      <c r="D270" s="747" t="str">
        <f>InpC!$F$27</f>
        <v>PR19</v>
      </c>
      <c r="E270" s="180" t="s">
        <v>545</v>
      </c>
      <c r="F270" s="192"/>
      <c r="G270" s="192" t="s">
        <v>2</v>
      </c>
      <c r="H270" s="98">
        <f>SUM(H268:H269)</f>
        <v>106.0320213196635</v>
      </c>
      <c r="J270" s="87"/>
      <c r="K270" s="82"/>
    </row>
    <row r="271" spans="1:21" ht="12.75" customHeight="1" outlineLevel="2">
      <c r="A271" s="25"/>
      <c r="B271" s="18"/>
      <c r="C271" s="19"/>
      <c r="D271" s="87"/>
      <c r="E271" s="87"/>
      <c r="F271" s="21"/>
      <c r="G271" s="21"/>
      <c r="H271" s="59"/>
      <c r="J271" s="87"/>
      <c r="K271" s="82"/>
    </row>
    <row r="272" spans="1:21" customFormat="1" ht="12.75" customHeight="1" outlineLevel="2">
      <c r="A272" s="163"/>
      <c r="B272" s="106"/>
      <c r="C272" s="107" t="str">
        <f>InpC!$F$27 &amp; " Bio resources"</f>
        <v>PR19 Bio resources</v>
      </c>
      <c r="D272" s="165"/>
      <c r="E272" s="109"/>
      <c r="F272" s="108"/>
      <c r="G272" s="108"/>
      <c r="H272" s="109"/>
      <c r="I272" s="45"/>
      <c r="J272" s="109"/>
      <c r="K272" s="109"/>
      <c r="L272" s="109"/>
      <c r="M272" s="109"/>
      <c r="N272" s="109"/>
      <c r="O272" s="109"/>
      <c r="P272" s="109"/>
      <c r="Q272" s="109"/>
      <c r="R272" s="109"/>
      <c r="S272" s="109"/>
      <c r="T272" s="109"/>
      <c r="U272" s="109"/>
    </row>
    <row r="273" spans="1:11" ht="12.75" customHeight="1" outlineLevel="2">
      <c r="A273" s="25"/>
      <c r="B273" s="25"/>
      <c r="C273" s="26"/>
      <c r="D273" s="618" t="str">
        <f>InpC!D$57</f>
        <v>PR19</v>
      </c>
      <c r="E273" s="618" t="str">
        <f>InpC!E$57</f>
        <v>CPI(H): Fin year average - inflate from base year 2017-18 average</v>
      </c>
      <c r="F273" s="727">
        <f>InpC!F$57</f>
        <v>1.1476732911210807</v>
      </c>
      <c r="G273" s="714" t="str">
        <f>InpC!G$57</f>
        <v>factor</v>
      </c>
      <c r="H273" s="714">
        <f>InpC!H$57</f>
        <v>0</v>
      </c>
      <c r="J273" s="83"/>
      <c r="K273" s="83"/>
    </row>
    <row r="274" spans="1:11" ht="12.75" customHeight="1" outlineLevel="2">
      <c r="A274" s="25"/>
      <c r="B274" s="25"/>
      <c r="C274" s="26"/>
      <c r="D274" s="110" t="str">
        <f>InpAct!D$186</f>
        <v>PR19</v>
      </c>
      <c r="E274" s="110" t="str">
        <f>InpAct!E$186</f>
        <v>RCV CPI(H) bf balance BEG - BR - nominal</v>
      </c>
      <c r="F274" s="127">
        <f>InpAct!F$186</f>
        <v>0</v>
      </c>
      <c r="G274" s="127" t="str">
        <f>InpAct!G$186</f>
        <v>£m</v>
      </c>
      <c r="H274" s="112">
        <f>InpAct!H$186</f>
        <v>706.62296652750103</v>
      </c>
      <c r="J274" s="83"/>
      <c r="K274" s="83"/>
    </row>
    <row r="275" spans="1:11" ht="12.75" customHeight="1" outlineLevel="2">
      <c r="A275" s="25"/>
      <c r="B275" s="25"/>
      <c r="C275" s="26"/>
      <c r="D275" s="110" t="str">
        <f>InpAct!D$187</f>
        <v>PR19</v>
      </c>
      <c r="E275" s="110" t="str">
        <f>InpAct!E$187</f>
        <v>Indexation on RCV - CPI(H) bf balance - BR - nominal</v>
      </c>
      <c r="F275" s="127">
        <f>InpAct!F$187</f>
        <v>0</v>
      </c>
      <c r="G275" s="127" t="str">
        <f>InpAct!G$187</f>
        <v>£m</v>
      </c>
      <c r="H275" s="112">
        <f>InpAct!H$187</f>
        <v>14.132459330550191</v>
      </c>
      <c r="J275" s="146"/>
      <c r="K275" s="83"/>
    </row>
    <row r="276" spans="1:11" s="120" customFormat="1" ht="12.75" customHeight="1" outlineLevel="2">
      <c r="A276" s="25"/>
      <c r="B276" s="25"/>
      <c r="C276" s="26"/>
      <c r="D276" s="110" t="str">
        <f>InpC!$F$27</f>
        <v>PR19</v>
      </c>
      <c r="E276" s="144" t="s">
        <v>546</v>
      </c>
      <c r="F276" s="145"/>
      <c r="G276" s="145" t="s">
        <v>2</v>
      </c>
      <c r="H276" s="85">
        <f>SUM(H274:H275) / $F273</f>
        <v>628.01446320493903</v>
      </c>
      <c r="I276" s="45"/>
      <c r="J276" s="146"/>
      <c r="K276" s="146"/>
    </row>
    <row r="277" spans="1:11" s="120" customFormat="1" ht="12.75" customHeight="1" outlineLevel="2">
      <c r="A277" s="25"/>
      <c r="B277" s="25"/>
      <c r="C277" s="26"/>
      <c r="D277" s="86"/>
      <c r="E277" s="144"/>
      <c r="F277" s="145"/>
      <c r="G277" s="145"/>
      <c r="H277" s="85"/>
      <c r="I277" s="45"/>
      <c r="J277" s="146"/>
      <c r="K277" s="146"/>
    </row>
    <row r="278" spans="1:11" ht="12.75" customHeight="1" outlineLevel="2">
      <c r="A278" s="25"/>
      <c r="B278" s="25"/>
      <c r="C278" s="26"/>
      <c r="D278" s="618" t="str">
        <f>InpC!D$57</f>
        <v>PR19</v>
      </c>
      <c r="E278" s="618" t="str">
        <f>InpC!E$57</f>
        <v>CPI(H): Fin year average - inflate from base year 2017-18 average</v>
      </c>
      <c r="F278" s="727">
        <f>InpC!F$57</f>
        <v>1.1476732911210807</v>
      </c>
      <c r="G278" s="714" t="str">
        <f>InpC!G$57</f>
        <v>factor</v>
      </c>
      <c r="H278" s="714">
        <f>InpC!H$57</f>
        <v>0</v>
      </c>
      <c r="J278" s="83"/>
      <c r="K278" s="83"/>
    </row>
    <row r="279" spans="1:11" s="42" customFormat="1" ht="12.75" customHeight="1" outlineLevel="2">
      <c r="A279" s="51"/>
      <c r="B279" s="51"/>
      <c r="C279" s="147"/>
      <c r="D279" s="110" t="str">
        <f>InpAct!D$188</f>
        <v>PR19</v>
      </c>
      <c r="E279" s="110" t="str">
        <f>InpAct!E$188</f>
        <v>RCV - CPI(H) bf depreciation - BR - nominal</v>
      </c>
      <c r="F279" s="127">
        <f>InpAct!F$188</f>
        <v>0</v>
      </c>
      <c r="G279" s="127" t="str">
        <f>InpAct!G$188</f>
        <v>£m</v>
      </c>
      <c r="H279" s="112">
        <f>InpAct!H$188</f>
        <v>37.214064020884216</v>
      </c>
      <c r="I279" s="45"/>
      <c r="J279" s="110"/>
      <c r="K279" s="111"/>
    </row>
    <row r="280" spans="1:11" s="42" customFormat="1" ht="12.75" customHeight="1" outlineLevel="2">
      <c r="A280" s="51"/>
      <c r="B280" s="51"/>
      <c r="C280" s="147"/>
      <c r="D280" s="110" t="str">
        <f>InpC!$F$27</f>
        <v>PR19</v>
      </c>
      <c r="E280" s="86" t="s">
        <v>547</v>
      </c>
      <c r="F280" s="145"/>
      <c r="G280" s="145" t="s">
        <v>2</v>
      </c>
      <c r="H280" s="85">
        <f>H279 / $F278</f>
        <v>32.425660080084668</v>
      </c>
      <c r="I280" s="45"/>
      <c r="J280" s="110"/>
      <c r="K280" s="111"/>
    </row>
    <row r="281" spans="1:11" ht="12.75" customHeight="1" outlineLevel="2">
      <c r="A281" s="25"/>
      <c r="B281" s="25"/>
      <c r="C281" s="26"/>
      <c r="D281" s="86"/>
      <c r="E281" s="86"/>
      <c r="F281" s="125"/>
      <c r="G281" s="125"/>
      <c r="H281" s="182"/>
      <c r="J281" s="173"/>
      <c r="K281" s="83"/>
    </row>
    <row r="282" spans="1:11" ht="12.75" customHeight="1" outlineLevel="2">
      <c r="A282" s="25"/>
      <c r="B282" s="25"/>
      <c r="C282" s="26"/>
      <c r="D282" s="618" t="str">
        <f>InpC!D$57</f>
        <v>PR19</v>
      </c>
      <c r="E282" s="618" t="str">
        <f>InpC!E$57</f>
        <v>CPI(H): Fin year average - inflate from base year 2017-18 average</v>
      </c>
      <c r="F282" s="727">
        <f>InpC!F$57</f>
        <v>1.1476732911210807</v>
      </c>
      <c r="G282" s="714" t="str">
        <f>InpC!G$57</f>
        <v>factor</v>
      </c>
      <c r="H282" s="714">
        <f>InpC!H$57</f>
        <v>0</v>
      </c>
      <c r="J282" s="83"/>
      <c r="K282" s="83"/>
    </row>
    <row r="283" spans="1:11" ht="12.75" customHeight="1" outlineLevel="2">
      <c r="A283" s="25"/>
      <c r="B283" s="25"/>
      <c r="C283" s="26"/>
      <c r="D283" s="110" t="str">
        <f>InpAct!D$189</f>
        <v>PR19</v>
      </c>
      <c r="E283" s="110" t="str">
        <f>InpAct!E$189</f>
        <v>RCV CPI(H) + RPI wedge bf balance BEG - BR - nominal</v>
      </c>
      <c r="F283" s="127">
        <f>InpAct!F$189</f>
        <v>0</v>
      </c>
      <c r="G283" s="127" t="str">
        <f>InpAct!G$189</f>
        <v>£m</v>
      </c>
      <c r="H283" s="112">
        <f>InpAct!H$189</f>
        <v>735.35148300595529</v>
      </c>
      <c r="J283" s="83"/>
      <c r="K283" s="83"/>
    </row>
    <row r="284" spans="1:11" ht="12.75" customHeight="1" outlineLevel="2">
      <c r="A284" s="25"/>
      <c r="B284" s="25"/>
      <c r="C284" s="26"/>
      <c r="D284" s="110" t="str">
        <f>InpAct!D$190</f>
        <v>PR19</v>
      </c>
      <c r="E284" s="110" t="str">
        <f>InpAct!E$190</f>
        <v>Indexation on RCV - CPI(H) + RPI wedge bf balance - BR - nominal</v>
      </c>
      <c r="F284" s="127">
        <f>InpAct!F$190</f>
        <v>0</v>
      </c>
      <c r="G284" s="127" t="str">
        <f>InpAct!G$190</f>
        <v>£m</v>
      </c>
      <c r="H284" s="112">
        <f>InpAct!H$190</f>
        <v>22.060544490178678</v>
      </c>
      <c r="J284" s="146"/>
      <c r="K284" s="83"/>
    </row>
    <row r="285" spans="1:11" s="120" customFormat="1" ht="12.75" customHeight="1" outlineLevel="2">
      <c r="A285" s="25"/>
      <c r="B285" s="25"/>
      <c r="C285" s="26"/>
      <c r="D285" s="110" t="str">
        <f>InpC!$F$27</f>
        <v>PR19</v>
      </c>
      <c r="E285" s="144" t="s">
        <v>548</v>
      </c>
      <c r="F285" s="145"/>
      <c r="G285" s="145" t="s">
        <v>2</v>
      </c>
      <c r="H285" s="85">
        <f>SUM(H283:H284) / $F282</f>
        <v>659.95439064045115</v>
      </c>
      <c r="I285" s="45"/>
      <c r="J285" s="146"/>
      <c r="K285" s="146"/>
    </row>
    <row r="286" spans="1:11" s="120" customFormat="1" ht="12.75" customHeight="1" outlineLevel="2">
      <c r="A286" s="25"/>
      <c r="B286" s="25"/>
      <c r="C286" s="26"/>
      <c r="D286" s="86"/>
      <c r="E286" s="144"/>
      <c r="F286" s="145"/>
      <c r="G286" s="145"/>
      <c r="H286" s="85"/>
      <c r="I286" s="45"/>
      <c r="J286" s="146"/>
      <c r="K286" s="146"/>
    </row>
    <row r="287" spans="1:11" ht="12.75" customHeight="1" outlineLevel="2">
      <c r="A287" s="25"/>
      <c r="B287" s="25"/>
      <c r="C287" s="26"/>
      <c r="D287" s="618" t="str">
        <f>InpC!D$57</f>
        <v>PR19</v>
      </c>
      <c r="E287" s="618" t="str">
        <f>InpC!E$57</f>
        <v>CPI(H): Fin year average - inflate from base year 2017-18 average</v>
      </c>
      <c r="F287" s="727">
        <f>InpC!F$57</f>
        <v>1.1476732911210807</v>
      </c>
      <c r="G287" s="714" t="str">
        <f>InpC!G$57</f>
        <v>factor</v>
      </c>
      <c r="H287" s="714">
        <f>InpC!H$57</f>
        <v>0</v>
      </c>
      <c r="J287" s="83"/>
      <c r="K287" s="83"/>
    </row>
    <row r="288" spans="1:11" s="42" customFormat="1" ht="12.75" customHeight="1" outlineLevel="2">
      <c r="A288" s="51"/>
      <c r="B288" s="51"/>
      <c r="C288" s="147"/>
      <c r="D288" s="110" t="str">
        <f>InpAct!D$191</f>
        <v>PR19</v>
      </c>
      <c r="E288" s="110" t="str">
        <f>InpAct!E$191</f>
        <v>RCV - CPI(H) + RPI wedge bf depreciation - BR - nominal</v>
      </c>
      <c r="F288" s="127">
        <f>InpAct!F$191</f>
        <v>0</v>
      </c>
      <c r="G288" s="127" t="str">
        <f>InpAct!G$191</f>
        <v>£m</v>
      </c>
      <c r="H288" s="112">
        <f>InpAct!H$191</f>
        <v>39.10671868737343</v>
      </c>
      <c r="I288" s="45"/>
      <c r="J288" s="110"/>
      <c r="K288" s="111"/>
    </row>
    <row r="289" spans="1:21" s="42" customFormat="1" ht="12.75" customHeight="1" outlineLevel="2">
      <c r="A289" s="51"/>
      <c r="B289" s="51"/>
      <c r="C289" s="147"/>
      <c r="D289" s="110" t="str">
        <f>InpC!$F$27</f>
        <v>PR19</v>
      </c>
      <c r="E289" s="86" t="s">
        <v>549</v>
      </c>
      <c r="F289" s="145"/>
      <c r="G289" s="145" t="s">
        <v>2</v>
      </c>
      <c r="H289" s="85">
        <f>H288 / $F287</f>
        <v>34.074783294096569</v>
      </c>
      <c r="I289" s="45"/>
      <c r="J289" s="110"/>
      <c r="K289" s="111"/>
    </row>
    <row r="290" spans="1:21" s="42" customFormat="1" ht="12.75" customHeight="1" outlineLevel="2">
      <c r="A290" s="51"/>
      <c r="B290" s="51"/>
      <c r="C290" s="147"/>
      <c r="D290" s="110"/>
      <c r="E290" s="110"/>
      <c r="F290" s="127"/>
      <c r="G290" s="127"/>
      <c r="H290" s="112"/>
      <c r="I290" s="45"/>
      <c r="J290" s="110"/>
      <c r="K290" s="111"/>
    </row>
    <row r="291" spans="1:21" ht="12.75" customHeight="1" outlineLevel="2">
      <c r="A291" s="25"/>
      <c r="B291" s="25"/>
      <c r="C291" s="26"/>
      <c r="D291" s="618" t="str">
        <f>InpC!D$57</f>
        <v>PR19</v>
      </c>
      <c r="E291" s="618" t="str">
        <f>InpC!E$57</f>
        <v>CPI(H): Fin year average - inflate from base year 2017-18 average</v>
      </c>
      <c r="F291" s="727">
        <f>InpC!F$57</f>
        <v>1.1476732911210807</v>
      </c>
      <c r="G291" s="714" t="str">
        <f>InpC!G$57</f>
        <v>factor</v>
      </c>
      <c r="H291" s="714">
        <f>InpC!H$57</f>
        <v>0</v>
      </c>
      <c r="J291" s="83"/>
      <c r="K291" s="83"/>
    </row>
    <row r="292" spans="1:21" s="42" customFormat="1" ht="12.75" customHeight="1" outlineLevel="2">
      <c r="A292" s="51"/>
      <c r="B292" s="51"/>
      <c r="C292" s="147"/>
      <c r="D292" s="110" t="str">
        <f>InpAct!D$197</f>
        <v>PR19</v>
      </c>
      <c r="E292" s="110" t="str">
        <f>InpAct!E$197</f>
        <v>Bio resources: Non-PAYG Totex - nominal</v>
      </c>
      <c r="F292" s="127">
        <f>InpAct!F$197</f>
        <v>0</v>
      </c>
      <c r="G292" s="127" t="str">
        <f>InpAct!G$197</f>
        <v>£m</v>
      </c>
      <c r="H292" s="112">
        <f>InpAct!H$197</f>
        <v>70.636656867593757</v>
      </c>
      <c r="I292" s="45"/>
      <c r="J292" s="110"/>
      <c r="K292" s="148"/>
    </row>
    <row r="293" spans="1:21" s="42" customFormat="1" ht="12.75" customHeight="1" outlineLevel="2">
      <c r="A293" s="51"/>
      <c r="B293" s="51"/>
      <c r="C293" s="147"/>
      <c r="D293" s="110" t="str">
        <f>InpC!$F$27</f>
        <v>PR19</v>
      </c>
      <c r="E293" s="86" t="s">
        <v>550</v>
      </c>
      <c r="F293" s="145"/>
      <c r="G293" s="145" t="s">
        <v>2</v>
      </c>
      <c r="H293" s="85">
        <f>H292 / $F291</f>
        <v>61.547704746700006</v>
      </c>
      <c r="I293" s="45"/>
      <c r="J293" s="110"/>
      <c r="K293" s="111"/>
    </row>
    <row r="294" spans="1:21" s="42" customFormat="1" ht="12.75" customHeight="1" outlineLevel="2">
      <c r="A294" s="51"/>
      <c r="B294" s="51"/>
      <c r="C294" s="147"/>
      <c r="D294" s="110"/>
      <c r="E294" s="110"/>
      <c r="F294" s="127"/>
      <c r="G294" s="127"/>
      <c r="H294" s="112"/>
      <c r="I294" s="45"/>
      <c r="J294" s="110"/>
      <c r="K294" s="111"/>
    </row>
    <row r="295" spans="1:21" ht="12.75" customHeight="1" outlineLevel="2">
      <c r="A295" s="25"/>
      <c r="B295" s="25"/>
      <c r="C295" s="26"/>
      <c r="D295" s="618" t="str">
        <f>InpC!D$57</f>
        <v>PR19</v>
      </c>
      <c r="E295" s="618" t="str">
        <f>InpC!E$57</f>
        <v>CPI(H): Fin year average - inflate from base year 2017-18 average</v>
      </c>
      <c r="F295" s="727">
        <f>InpC!F$57</f>
        <v>1.1476732911210807</v>
      </c>
      <c r="G295" s="714" t="str">
        <f>InpC!G$57</f>
        <v>factor</v>
      </c>
      <c r="H295" s="714">
        <f>InpC!H$57</f>
        <v>0</v>
      </c>
      <c r="J295" s="83"/>
      <c r="K295" s="83"/>
    </row>
    <row r="296" spans="1:21" ht="12.75" customHeight="1" outlineLevel="2">
      <c r="A296" s="25"/>
      <c r="B296" s="25"/>
      <c r="C296" s="26"/>
      <c r="D296" s="745" t="str">
        <f>InpAct!D$195</f>
        <v>PR19</v>
      </c>
      <c r="E296" s="593" t="str">
        <f>InpAct!E$195</f>
        <v>RCV additions balance BEG - BR - nominal</v>
      </c>
      <c r="F296" s="593">
        <f>InpAct!F$195</f>
        <v>0</v>
      </c>
      <c r="G296" s="594" t="str">
        <f>InpAct!G$195</f>
        <v>£m</v>
      </c>
      <c r="H296" s="593">
        <f>InpAct!H$195</f>
        <v>342.4118076337295</v>
      </c>
      <c r="J296" s="83"/>
      <c r="K296" s="83"/>
    </row>
    <row r="297" spans="1:21" s="42" customFormat="1" ht="12.75" customHeight="1" outlineLevel="2">
      <c r="A297" s="51"/>
      <c r="B297" s="51"/>
      <c r="C297" s="147"/>
      <c r="D297" s="110" t="str">
        <f>InpAct!D$196</f>
        <v>PR19</v>
      </c>
      <c r="E297" s="110" t="str">
        <f>InpAct!E$196</f>
        <v>Indexation of RCV additions b/f - BR - nominal</v>
      </c>
      <c r="F297" s="127">
        <f>InpAct!F$196</f>
        <v>0</v>
      </c>
      <c r="G297" s="127" t="str">
        <f>InpAct!G$196</f>
        <v>£m</v>
      </c>
      <c r="H297" s="112">
        <f>InpAct!H$196</f>
        <v>6.848236152674672</v>
      </c>
      <c r="I297" s="45"/>
      <c r="J297" s="110"/>
      <c r="K297" s="148"/>
    </row>
    <row r="298" spans="1:21" s="42" customFormat="1" ht="12.75" customHeight="1" outlineLevel="2">
      <c r="A298" s="51"/>
      <c r="B298" s="61"/>
      <c r="C298" s="62"/>
      <c r="D298" s="110" t="str">
        <f>InpC!$F$27</f>
        <v>PR19</v>
      </c>
      <c r="E298" s="86" t="s">
        <v>551</v>
      </c>
      <c r="F298" s="145"/>
      <c r="G298" s="145" t="s">
        <v>2</v>
      </c>
      <c r="H298" s="759">
        <f xml:space="preserve"> SUM(H296:H297) / $F295</f>
        <v>304.32009395743341</v>
      </c>
      <c r="I298" s="45"/>
      <c r="J298" s="110"/>
      <c r="K298" s="111"/>
    </row>
    <row r="299" spans="1:21" s="42" customFormat="1" ht="12.75" customHeight="1" outlineLevel="2">
      <c r="A299" s="51"/>
      <c r="B299" s="61"/>
      <c r="C299" s="62"/>
      <c r="D299" s="110"/>
      <c r="E299" s="110"/>
      <c r="F299" s="127"/>
      <c r="G299" s="127"/>
      <c r="H299" s="112"/>
      <c r="I299" s="45"/>
      <c r="J299" s="110"/>
      <c r="K299" s="111"/>
    </row>
    <row r="300" spans="1:21" customFormat="1" ht="14.4" outlineLevel="2">
      <c r="A300" s="106"/>
      <c r="B300" s="270" t="s">
        <v>362</v>
      </c>
      <c r="C300" s="164"/>
      <c r="D300" s="165"/>
      <c r="F300" s="274"/>
      <c r="G300" s="274"/>
      <c r="H300" s="271"/>
      <c r="I300" s="45"/>
      <c r="J300" s="271"/>
      <c r="K300" s="271"/>
      <c r="L300" s="271"/>
      <c r="M300" s="271"/>
      <c r="N300" s="271"/>
      <c r="O300" s="271"/>
      <c r="P300" s="271"/>
      <c r="Q300" s="271"/>
      <c r="R300" s="271"/>
      <c r="S300" s="271"/>
      <c r="T300" s="271"/>
      <c r="U300" s="271"/>
    </row>
    <row r="301" spans="1:21" customFormat="1" ht="14.4" outlineLevel="2">
      <c r="A301" s="106"/>
      <c r="B301" s="270"/>
      <c r="C301" s="164"/>
      <c r="D301" s="751" t="str">
        <f>InpAct!D$193</f>
        <v>PR19</v>
      </c>
      <c r="E301" s="751" t="str">
        <f>InpAct!E$193</f>
        <v>Post 2020 investment run off rate  - Method used to apply run off rate (straight line or reducing balance) ~ bioresources - RCV additions depreciation</v>
      </c>
      <c r="F301" s="232" t="str">
        <f>InpAct!F$193</f>
        <v>Reducing balance</v>
      </c>
      <c r="G301" s="232" t="str">
        <f>InpAct!G$193</f>
        <v>switch</v>
      </c>
      <c r="H301" s="752" t="str">
        <f>InpAct!H$193</f>
        <v>for info</v>
      </c>
      <c r="I301" s="45"/>
      <c r="J301" s="574"/>
      <c r="K301" s="271"/>
      <c r="L301" s="271"/>
      <c r="M301" s="271"/>
      <c r="N301" s="271"/>
      <c r="O301" s="271"/>
      <c r="P301" s="271"/>
      <c r="Q301" s="271"/>
      <c r="R301" s="271"/>
      <c r="S301" s="271"/>
      <c r="T301" s="271"/>
      <c r="U301" s="271"/>
    </row>
    <row r="302" spans="1:21" s="42" customFormat="1" ht="12.75" customHeight="1" outlineLevel="2">
      <c r="A302" s="51"/>
      <c r="B302" s="61"/>
      <c r="C302" s="62"/>
      <c r="D302" s="110" t="str">
        <f>InpAct!D$194</f>
        <v>PR19</v>
      </c>
      <c r="E302" s="110" t="str">
        <f>InpAct!E$194</f>
        <v>Proportion of capex that is subject to depreciation in year of acquisition - RCV - BR</v>
      </c>
      <c r="F302" s="174">
        <f>InpAct!F$194</f>
        <v>0</v>
      </c>
      <c r="G302" s="127" t="str">
        <f>InpAct!G$194</f>
        <v>%</v>
      </c>
      <c r="H302" s="102">
        <f>InpAct!H$194</f>
        <v>0.5</v>
      </c>
      <c r="I302" s="45"/>
      <c r="J302" s="110"/>
      <c r="K302" s="111"/>
    </row>
    <row r="303" spans="1:21" s="42" customFormat="1" ht="12.75" customHeight="1" outlineLevel="2">
      <c r="A303" s="51"/>
      <c r="B303" s="51"/>
      <c r="C303" s="147"/>
      <c r="D303" s="144" t="str">
        <f>D$293</f>
        <v>PR19</v>
      </c>
      <c r="E303" s="144" t="str">
        <f t="shared" ref="E303:H303" si="53">E$293</f>
        <v>Bio resources: Non-PAYG Totex - 2017/18 year average CPIH deflated</v>
      </c>
      <c r="F303" s="145">
        <f t="shared" si="53"/>
        <v>0</v>
      </c>
      <c r="G303" s="145" t="str">
        <f t="shared" si="53"/>
        <v>£m</v>
      </c>
      <c r="H303" s="85">
        <f t="shared" si="53"/>
        <v>61.547704746700006</v>
      </c>
      <c r="I303" s="45"/>
      <c r="J303" s="110"/>
      <c r="K303" s="148"/>
    </row>
    <row r="304" spans="1:21" s="42" customFormat="1" ht="12.75" customHeight="1" outlineLevel="2">
      <c r="A304" s="51"/>
      <c r="B304" s="51"/>
      <c r="C304" s="147"/>
      <c r="D304" s="110" t="str">
        <f>InpC!$F$27</f>
        <v>PR19</v>
      </c>
      <c r="E304" s="86" t="s">
        <v>552</v>
      </c>
      <c r="F304" s="145"/>
      <c r="G304" s="145" t="s">
        <v>2</v>
      </c>
      <c r="H304" s="85">
        <f>H303 * $H302</f>
        <v>30.773852373350003</v>
      </c>
      <c r="I304" s="45"/>
      <c r="J304" s="110"/>
      <c r="K304" s="148"/>
    </row>
    <row r="305" spans="1:11" s="42" customFormat="1" ht="12.75" customHeight="1" outlineLevel="2">
      <c r="A305" s="51"/>
      <c r="B305" s="51"/>
      <c r="C305" s="147"/>
      <c r="D305" s="144"/>
      <c r="E305" s="144"/>
      <c r="F305" s="145"/>
      <c r="G305" s="145"/>
      <c r="H305" s="85"/>
      <c r="I305" s="45"/>
      <c r="J305" s="110"/>
      <c r="K305" s="148"/>
    </row>
    <row r="306" spans="1:11" s="42" customFormat="1" ht="12.75" customHeight="1" outlineLevel="2">
      <c r="A306" s="51"/>
      <c r="B306" s="51"/>
      <c r="C306" s="147"/>
      <c r="D306" s="144" t="str">
        <f>D$304</f>
        <v>PR19</v>
      </c>
      <c r="E306" s="144" t="str">
        <f t="shared" ref="E306:H306" si="54">E$304</f>
        <v>Non-PAYG Totex depreciated in year of acquisition - 2017/18 year average CPIH deflated - BR</v>
      </c>
      <c r="F306" s="145">
        <f t="shared" si="54"/>
        <v>0</v>
      </c>
      <c r="G306" s="145" t="str">
        <f t="shared" si="54"/>
        <v>£m</v>
      </c>
      <c r="H306" s="85">
        <f t="shared" si="54"/>
        <v>30.773852373350003</v>
      </c>
      <c r="I306" s="45"/>
      <c r="J306" s="110"/>
      <c r="K306" s="148"/>
    </row>
    <row r="307" spans="1:11" s="42" customFormat="1" ht="12.75" customHeight="1" outlineLevel="2">
      <c r="A307" s="51"/>
      <c r="B307" s="51"/>
      <c r="C307" s="147"/>
      <c r="D307" s="110" t="str">
        <f>InpAct!D$201</f>
        <v>PR19</v>
      </c>
      <c r="E307" s="110" t="str">
        <f>InpAct!E$201</f>
        <v>Run-off rate - RCV additions - active - BR</v>
      </c>
      <c r="F307" s="127">
        <f>InpAct!F$201</f>
        <v>0</v>
      </c>
      <c r="G307" s="127" t="str">
        <f>InpAct!G$201</f>
        <v>%</v>
      </c>
      <c r="H307" s="102">
        <f>InpAct!H$201</f>
        <v>7.5631229250522083E-2</v>
      </c>
      <c r="I307" s="45"/>
      <c r="J307" s="110"/>
      <c r="K307" s="148"/>
    </row>
    <row r="308" spans="1:11" s="120" customFormat="1" ht="12.75" customHeight="1" outlineLevel="2">
      <c r="A308" s="25"/>
      <c r="B308" s="25"/>
      <c r="C308" s="26"/>
      <c r="D308" s="110" t="str">
        <f>InpC!$F$27</f>
        <v>PR19</v>
      </c>
      <c r="E308" s="144" t="s">
        <v>70</v>
      </c>
      <c r="F308" s="145"/>
      <c r="G308" s="145" t="s">
        <v>2</v>
      </c>
      <c r="H308" s="85">
        <f>H306 * H307</f>
        <v>2.3274642837705573</v>
      </c>
      <c r="I308" s="45"/>
      <c r="J308" s="196"/>
      <c r="K308" s="189"/>
    </row>
    <row r="309" spans="1:11" s="120" customFormat="1" ht="12.75" customHeight="1" outlineLevel="2">
      <c r="A309" s="25"/>
      <c r="B309" s="25"/>
      <c r="C309" s="26"/>
      <c r="D309" s="86"/>
      <c r="E309" s="144"/>
      <c r="F309" s="145"/>
      <c r="G309" s="145"/>
      <c r="H309" s="85"/>
      <c r="I309" s="45"/>
      <c r="J309" s="110"/>
      <c r="K309" s="189"/>
    </row>
    <row r="310" spans="1:11" s="42" customFormat="1" ht="12.75" customHeight="1" outlineLevel="2">
      <c r="A310" s="51"/>
      <c r="B310" s="51"/>
      <c r="C310" s="147"/>
      <c r="D310" s="144" t="str">
        <f>D$298</f>
        <v>PR19</v>
      </c>
      <c r="E310" s="144" t="str">
        <f t="shared" ref="E310:H310" si="55">E$298</f>
        <v>Indexation of RCV additions b/f - BR - 2017/18 year average CPIH deflated</v>
      </c>
      <c r="F310" s="145">
        <f t="shared" si="55"/>
        <v>0</v>
      </c>
      <c r="G310" s="145" t="str">
        <f t="shared" si="55"/>
        <v>£m</v>
      </c>
      <c r="H310" s="85">
        <f t="shared" si="55"/>
        <v>304.32009395743341</v>
      </c>
      <c r="I310" s="45"/>
      <c r="J310" s="110"/>
      <c r="K310" s="148"/>
    </row>
    <row r="311" spans="1:11" s="42" customFormat="1" ht="12.75" customHeight="1" outlineLevel="2">
      <c r="A311" s="51"/>
      <c r="B311" s="51"/>
      <c r="C311" s="147"/>
      <c r="D311" s="110" t="str">
        <f>InpAct!D$201</f>
        <v>PR19</v>
      </c>
      <c r="E311" s="110" t="str">
        <f>InpAct!E$201</f>
        <v>Run-off rate - RCV additions - active - BR</v>
      </c>
      <c r="F311" s="127">
        <f>InpAct!F$201</f>
        <v>0</v>
      </c>
      <c r="G311" s="127" t="str">
        <f>InpAct!G$201</f>
        <v>%</v>
      </c>
      <c r="H311" s="102">
        <f>InpAct!H$201</f>
        <v>7.5631229250522083E-2</v>
      </c>
      <c r="I311" s="45"/>
      <c r="J311" s="110"/>
      <c r="K311" s="148"/>
    </row>
    <row r="312" spans="1:11" ht="12.75" customHeight="1" outlineLevel="2">
      <c r="A312" s="25"/>
      <c r="B312" s="25"/>
      <c r="C312" s="26"/>
      <c r="D312" s="110" t="str">
        <f>InpC!$F$27</f>
        <v>PR19</v>
      </c>
      <c r="E312" s="144" t="s">
        <v>71</v>
      </c>
      <c r="F312" s="125"/>
      <c r="G312" s="125" t="s">
        <v>2</v>
      </c>
      <c r="H312" s="85">
        <f>H310 * H311</f>
        <v>23.016102791635067</v>
      </c>
      <c r="J312" s="86"/>
      <c r="K312" s="117"/>
    </row>
    <row r="313" spans="1:11" ht="12.75" customHeight="1" outlineLevel="2">
      <c r="A313" s="25"/>
      <c r="B313" s="25"/>
      <c r="C313" s="26"/>
      <c r="D313" s="86"/>
      <c r="E313" s="144"/>
      <c r="F313" s="125"/>
      <c r="G313" s="125"/>
      <c r="H313" s="85"/>
      <c r="J313" s="86"/>
      <c r="K313" s="117"/>
    </row>
    <row r="314" spans="1:11" ht="12.75" customHeight="1" outlineLevel="2">
      <c r="A314" s="25"/>
      <c r="B314" s="25"/>
      <c r="C314" s="26"/>
      <c r="D314" s="86" t="str">
        <f>D$304</f>
        <v>PR19</v>
      </c>
      <c r="E314" s="86" t="str">
        <f t="shared" ref="E314:H314" si="56">E$304</f>
        <v>Non-PAYG Totex depreciated in year of acquisition - 2017/18 year average CPIH deflated - BR</v>
      </c>
      <c r="F314" s="21">
        <f t="shared" si="56"/>
        <v>0</v>
      </c>
      <c r="G314" s="21" t="str">
        <f t="shared" si="56"/>
        <v>£m</v>
      </c>
      <c r="H314" s="59">
        <f t="shared" si="56"/>
        <v>30.773852373350003</v>
      </c>
      <c r="J314" s="86"/>
      <c r="K314" s="117"/>
    </row>
    <row r="315" spans="1:11" ht="12.75" customHeight="1" outlineLevel="2">
      <c r="A315" s="25"/>
      <c r="B315" s="18"/>
      <c r="C315" s="19"/>
      <c r="D315" s="87" t="str">
        <f>D$310</f>
        <v>PR19</v>
      </c>
      <c r="E315" s="87" t="str">
        <f t="shared" ref="E315:H315" si="57">E$310</f>
        <v>Indexation of RCV additions b/f - BR - 2017/18 year average CPIH deflated</v>
      </c>
      <c r="F315" s="21">
        <f t="shared" si="57"/>
        <v>0</v>
      </c>
      <c r="G315" s="21" t="str">
        <f t="shared" si="57"/>
        <v>£m</v>
      </c>
      <c r="H315" s="59">
        <f t="shared" si="57"/>
        <v>304.32009395743341</v>
      </c>
      <c r="J315" s="87"/>
      <c r="K315" s="82"/>
    </row>
    <row r="316" spans="1:11" ht="12.75" customHeight="1" outlineLevel="2">
      <c r="A316" s="25"/>
      <c r="B316" s="18"/>
      <c r="C316" s="19"/>
      <c r="D316" s="747" t="str">
        <f>InpC!$F$27</f>
        <v>PR19</v>
      </c>
      <c r="E316" s="191" t="s">
        <v>553</v>
      </c>
      <c r="F316" s="192"/>
      <c r="G316" s="192" t="s">
        <v>2</v>
      </c>
      <c r="H316" s="98">
        <f>SUM(H314:H315)</f>
        <v>335.09394633078341</v>
      </c>
      <c r="J316" s="87"/>
      <c r="K316" s="82"/>
    </row>
    <row r="317" spans="1:11" ht="12.75" customHeight="1" outlineLevel="2">
      <c r="A317" s="25"/>
      <c r="B317" s="18"/>
      <c r="C317" s="19"/>
      <c r="D317" s="86"/>
      <c r="E317" s="198"/>
      <c r="F317" s="199"/>
      <c r="G317" s="199"/>
      <c r="H317" s="52"/>
      <c r="J317" s="87"/>
      <c r="K317" s="82"/>
    </row>
    <row r="318" spans="1:11" ht="12.75" customHeight="1" outlineLevel="2">
      <c r="A318" s="25"/>
      <c r="B318" s="18"/>
      <c r="C318" s="19"/>
      <c r="D318" s="87" t="str">
        <f>D$308</f>
        <v>PR19</v>
      </c>
      <c r="E318" s="87" t="str">
        <f t="shared" ref="E318:H318" si="58">E$308</f>
        <v>RCV post 2020 additions depreciation - BR</v>
      </c>
      <c r="F318" s="21">
        <f t="shared" si="58"/>
        <v>0</v>
      </c>
      <c r="G318" s="21" t="str">
        <f t="shared" si="58"/>
        <v>£m</v>
      </c>
      <c r="H318" s="59">
        <f t="shared" si="58"/>
        <v>2.3274642837705573</v>
      </c>
      <c r="J318" s="87"/>
      <c r="K318" s="82"/>
    </row>
    <row r="319" spans="1:11" ht="12.75" customHeight="1" outlineLevel="2">
      <c r="A319" s="25"/>
      <c r="B319" s="18"/>
      <c r="C319" s="19"/>
      <c r="D319" s="87" t="str">
        <f>D$312</f>
        <v>PR19</v>
      </c>
      <c r="E319" s="87" t="str">
        <f t="shared" ref="E319:H319" si="59">E$312</f>
        <v>Indexation of RCV post 2020 additions depreciation - BR</v>
      </c>
      <c r="F319" s="21">
        <f t="shared" si="59"/>
        <v>0</v>
      </c>
      <c r="G319" s="21" t="str">
        <f t="shared" si="59"/>
        <v>£m</v>
      </c>
      <c r="H319" s="59">
        <f t="shared" si="59"/>
        <v>23.016102791635067</v>
      </c>
      <c r="J319" s="87"/>
      <c r="K319" s="82"/>
    </row>
    <row r="320" spans="1:11" ht="12.75" customHeight="1" outlineLevel="2">
      <c r="A320" s="25"/>
      <c r="B320" s="18"/>
      <c r="C320" s="19"/>
      <c r="D320" s="747" t="str">
        <f>InpC!$F$27</f>
        <v>PR19</v>
      </c>
      <c r="E320" s="180" t="s">
        <v>554</v>
      </c>
      <c r="F320" s="192"/>
      <c r="G320" s="192" t="s">
        <v>2</v>
      </c>
      <c r="H320" s="98">
        <f>SUM(H318:H319)</f>
        <v>25.343567075405623</v>
      </c>
      <c r="J320" s="87"/>
      <c r="K320" s="82"/>
    </row>
    <row r="321" spans="1:21" ht="12.75" customHeight="1" outlineLevel="2">
      <c r="A321" s="25"/>
      <c r="B321" s="25"/>
      <c r="C321" s="26"/>
      <c r="D321" s="86"/>
      <c r="E321" s="86"/>
      <c r="F321" s="125"/>
      <c r="G321" s="125"/>
      <c r="H321" s="182"/>
      <c r="J321" s="117"/>
      <c r="K321" s="117"/>
    </row>
    <row r="322" spans="1:21" customFormat="1" ht="14.4" outlineLevel="2">
      <c r="A322" s="106"/>
      <c r="B322" s="270" t="s">
        <v>266</v>
      </c>
      <c r="C322" s="164"/>
      <c r="D322" s="165"/>
      <c r="F322" s="274"/>
      <c r="G322" s="274"/>
      <c r="H322" s="271"/>
      <c r="I322" s="45"/>
      <c r="J322" s="271"/>
      <c r="K322" s="271"/>
      <c r="L322" s="271"/>
      <c r="M322" s="271"/>
      <c r="N322" s="271"/>
      <c r="O322" s="271"/>
      <c r="P322" s="271"/>
      <c r="Q322" s="271"/>
      <c r="R322" s="271"/>
      <c r="S322" s="271"/>
      <c r="T322" s="271"/>
      <c r="U322" s="271"/>
    </row>
    <row r="323" spans="1:21" ht="12.75" customHeight="1" outlineLevel="2">
      <c r="A323" s="25"/>
      <c r="B323" s="18"/>
      <c r="C323" s="19"/>
      <c r="D323" s="91" t="str">
        <f>D$226</f>
        <v>PR19</v>
      </c>
      <c r="E323" s="91" t="str">
        <f t="shared" ref="E323:H323" si="60">E$226</f>
        <v>RCV CPIH BEG plus indexation - WWN - 2017/18 year average CPIH deflated</v>
      </c>
      <c r="F323" s="128">
        <f t="shared" si="60"/>
        <v>0</v>
      </c>
      <c r="G323" s="128" t="str">
        <f t="shared" si="60"/>
        <v>£m</v>
      </c>
      <c r="H323" s="52">
        <f t="shared" si="60"/>
        <v>2018.3222538717857</v>
      </c>
      <c r="J323" s="82"/>
      <c r="K323" s="82"/>
    </row>
    <row r="324" spans="1:21" ht="12.75" customHeight="1" outlineLevel="2">
      <c r="A324" s="25"/>
      <c r="B324" s="18"/>
      <c r="C324" s="19"/>
      <c r="D324" s="91" t="str">
        <f>D$235</f>
        <v>PR19</v>
      </c>
      <c r="E324" s="91" t="str">
        <f t="shared" ref="E324:H324" si="61">E$235</f>
        <v>RCV CPIH + RPI wedge BEG plus indexation - WWN - 2017/18 year average CPIH deflated</v>
      </c>
      <c r="F324" s="128">
        <f t="shared" si="61"/>
        <v>0</v>
      </c>
      <c r="G324" s="128" t="str">
        <f t="shared" si="61"/>
        <v>£m</v>
      </c>
      <c r="H324" s="52">
        <f t="shared" si="61"/>
        <v>2135.7177756264309</v>
      </c>
      <c r="J324" s="82"/>
      <c r="K324" s="82"/>
    </row>
    <row r="325" spans="1:21" ht="12.75" customHeight="1" outlineLevel="2">
      <c r="A325" s="25"/>
      <c r="B325" s="18"/>
      <c r="C325" s="19"/>
      <c r="D325" s="91" t="str">
        <f>D$266</f>
        <v>PR19</v>
      </c>
      <c r="E325" s="91" t="str">
        <f t="shared" ref="E325:H325" si="62">E$266</f>
        <v>RCV post 2020 additions plus indexation - WWN - 2017/18 year average CPIH deflated</v>
      </c>
      <c r="F325" s="128">
        <f t="shared" si="62"/>
        <v>0</v>
      </c>
      <c r="G325" s="128" t="str">
        <f t="shared" si="62"/>
        <v>£m</v>
      </c>
      <c r="H325" s="52">
        <f t="shared" si="62"/>
        <v>1992.7991208375015</v>
      </c>
      <c r="J325" s="82"/>
      <c r="K325" s="82"/>
    </row>
    <row r="326" spans="1:21" ht="12.75" customHeight="1" outlineLevel="2">
      <c r="A326" s="25"/>
      <c r="B326" s="18"/>
      <c r="C326" s="19"/>
      <c r="D326" s="91" t="str">
        <f>D$276</f>
        <v>PR19</v>
      </c>
      <c r="E326" s="91" t="str">
        <f t="shared" ref="E326:H326" si="63">E$276</f>
        <v>RCV CPIH BEG plus indexation - BR - 2017/18 year average CPIH deflated</v>
      </c>
      <c r="F326" s="128">
        <f t="shared" si="63"/>
        <v>0</v>
      </c>
      <c r="G326" s="128" t="str">
        <f t="shared" si="63"/>
        <v>£m</v>
      </c>
      <c r="H326" s="52">
        <f t="shared" si="63"/>
        <v>628.01446320493903</v>
      </c>
      <c r="J326" s="82"/>
      <c r="K326" s="82"/>
    </row>
    <row r="327" spans="1:21" ht="12.75" customHeight="1" outlineLevel="2">
      <c r="A327" s="25"/>
      <c r="B327" s="18"/>
      <c r="C327" s="19"/>
      <c r="D327" s="91" t="str">
        <f>D$285</f>
        <v>PR19</v>
      </c>
      <c r="E327" s="91" t="str">
        <f t="shared" ref="E327:H327" si="64">E$285</f>
        <v>RCV CPIH + RPI wedge BEG plus indexation - BR - 2017/18 year average CPIH deflated</v>
      </c>
      <c r="F327" s="128">
        <f t="shared" si="64"/>
        <v>0</v>
      </c>
      <c r="G327" s="128" t="str">
        <f t="shared" si="64"/>
        <v>£m</v>
      </c>
      <c r="H327" s="52">
        <f t="shared" si="64"/>
        <v>659.95439064045115</v>
      </c>
      <c r="J327" s="82"/>
      <c r="K327" s="82"/>
    </row>
    <row r="328" spans="1:21" ht="12.75" customHeight="1" outlineLevel="2">
      <c r="A328" s="25"/>
      <c r="B328" s="18"/>
      <c r="C328" s="19"/>
      <c r="D328" s="91" t="str">
        <f>D$316</f>
        <v>PR19</v>
      </c>
      <c r="E328" s="91" t="str">
        <f t="shared" ref="E328:H328" si="65">E$316</f>
        <v>RCV post 2020 additions plus indexation - BR - 2017/18 year average CPIH deflated</v>
      </c>
      <c r="F328" s="128">
        <f t="shared" si="65"/>
        <v>0</v>
      </c>
      <c r="G328" s="128" t="str">
        <f t="shared" si="65"/>
        <v>£m</v>
      </c>
      <c r="H328" s="52">
        <f t="shared" si="65"/>
        <v>335.09394633078341</v>
      </c>
      <c r="J328" s="82"/>
      <c r="K328" s="82"/>
    </row>
    <row r="329" spans="1:21" ht="12.75" customHeight="1" outlineLevel="2">
      <c r="A329" s="25"/>
      <c r="B329" s="18"/>
      <c r="C329" s="19"/>
      <c r="D329" s="747" t="str">
        <f>InpC!$F$27</f>
        <v>PR19</v>
      </c>
      <c r="E329" s="97" t="s">
        <v>125</v>
      </c>
      <c r="F329" s="130"/>
      <c r="G329" s="130" t="s">
        <v>2</v>
      </c>
      <c r="H329" s="185">
        <f>SUM(H323:H328)</f>
        <v>7769.9019505118913</v>
      </c>
      <c r="J329" s="82"/>
      <c r="K329" s="82"/>
    </row>
    <row r="330" spans="1:21" ht="12.75" customHeight="1" outlineLevel="2">
      <c r="A330" s="25"/>
      <c r="B330" s="18"/>
      <c r="C330" s="19"/>
      <c r="D330" s="91"/>
      <c r="E330" s="91"/>
      <c r="F330" s="128"/>
      <c r="G330" s="128"/>
      <c r="H330" s="128"/>
      <c r="J330" s="82"/>
      <c r="K330" s="82"/>
    </row>
    <row r="331" spans="1:21" ht="12.75" customHeight="1" outlineLevel="2">
      <c r="A331" s="25"/>
      <c r="B331" s="18"/>
      <c r="C331" s="19"/>
      <c r="D331" s="91" t="str">
        <f>D$230</f>
        <v>PR19</v>
      </c>
      <c r="E331" s="91" t="str">
        <f t="shared" ref="E331:H331" si="66">E$230</f>
        <v>RCV CPIH depreciation - WWN - 2017/18 year average CPIH deflated</v>
      </c>
      <c r="F331" s="128">
        <f t="shared" si="66"/>
        <v>0</v>
      </c>
      <c r="G331" s="128" t="str">
        <f t="shared" si="66"/>
        <v>£m</v>
      </c>
      <c r="H331" s="52">
        <f t="shared" si="66"/>
        <v>107.39004549668064</v>
      </c>
      <c r="J331" s="91"/>
      <c r="K331" s="82"/>
    </row>
    <row r="332" spans="1:21" ht="12.75" customHeight="1" outlineLevel="2">
      <c r="A332" s="25"/>
      <c r="B332" s="18"/>
      <c r="C332" s="19"/>
      <c r="D332" s="91" t="str">
        <f>D$239</f>
        <v>PR19</v>
      </c>
      <c r="E332" s="91" t="str">
        <f t="shared" ref="E332:H332" si="67">E$239</f>
        <v>RCV CPIH + RPI wedge depreciation - WWN - 2017/18 year average CPIH deflated</v>
      </c>
      <c r="F332" s="128">
        <f t="shared" si="67"/>
        <v>0</v>
      </c>
      <c r="G332" s="128" t="str">
        <f t="shared" si="67"/>
        <v>£m</v>
      </c>
      <c r="H332" s="52">
        <f t="shared" si="67"/>
        <v>110.49324201989175</v>
      </c>
      <c r="J332" s="91"/>
      <c r="K332" s="82"/>
    </row>
    <row r="333" spans="1:21" ht="12.75" customHeight="1" outlineLevel="2">
      <c r="A333" s="25"/>
      <c r="B333" s="18"/>
      <c r="C333" s="19"/>
      <c r="D333" s="91" t="str">
        <f>D$270</f>
        <v>PR19</v>
      </c>
      <c r="E333" s="91" t="str">
        <f t="shared" ref="E333:H333" si="68">E$270</f>
        <v>RCV post 2020 additions plus indexation depreciation - WWN - 2017/18 year average CPIH deflated</v>
      </c>
      <c r="F333" s="128">
        <f t="shared" si="68"/>
        <v>0</v>
      </c>
      <c r="G333" s="128" t="str">
        <f t="shared" si="68"/>
        <v>£m</v>
      </c>
      <c r="H333" s="52">
        <f t="shared" si="68"/>
        <v>106.0320213196635</v>
      </c>
      <c r="J333" s="91"/>
      <c r="K333" s="82"/>
    </row>
    <row r="334" spans="1:21" ht="12.75" customHeight="1" outlineLevel="2">
      <c r="A334" s="25"/>
      <c r="B334" s="18"/>
      <c r="C334" s="19"/>
      <c r="D334" s="91" t="str">
        <f>D$280</f>
        <v>PR19</v>
      </c>
      <c r="E334" s="91" t="str">
        <f t="shared" ref="E334:H334" si="69">E$280</f>
        <v>RCV CPIH depreciation - BR - 2017/18 year average CPIH deflated</v>
      </c>
      <c r="F334" s="128">
        <f t="shared" si="69"/>
        <v>0</v>
      </c>
      <c r="G334" s="128" t="str">
        <f t="shared" si="69"/>
        <v>£m</v>
      </c>
      <c r="H334" s="52">
        <f t="shared" si="69"/>
        <v>32.425660080084668</v>
      </c>
      <c r="J334" s="91"/>
      <c r="K334" s="82"/>
    </row>
    <row r="335" spans="1:21" ht="12.75" customHeight="1" outlineLevel="2">
      <c r="A335" s="25"/>
      <c r="B335" s="18"/>
      <c r="C335" s="19"/>
      <c r="D335" s="91" t="str">
        <f>D$289</f>
        <v>PR19</v>
      </c>
      <c r="E335" s="91" t="str">
        <f t="shared" ref="E335:H335" si="70">E$289</f>
        <v>RCV CPIH + RPI wedge depreciation - BR - 2017/18 year average CPIH deflated</v>
      </c>
      <c r="F335" s="128">
        <f t="shared" si="70"/>
        <v>0</v>
      </c>
      <c r="G335" s="128" t="str">
        <f t="shared" si="70"/>
        <v>£m</v>
      </c>
      <c r="H335" s="52">
        <f t="shared" si="70"/>
        <v>34.074783294096569</v>
      </c>
      <c r="J335" s="91"/>
      <c r="K335" s="82"/>
    </row>
    <row r="336" spans="1:21" ht="12.75" customHeight="1" outlineLevel="2">
      <c r="A336" s="25"/>
      <c r="B336" s="18"/>
      <c r="C336" s="19"/>
      <c r="D336" s="91" t="str">
        <f>D$320</f>
        <v>PR19</v>
      </c>
      <c r="E336" s="91" t="str">
        <f t="shared" ref="E336:H336" si="71">E$320</f>
        <v>RCV post 2020 additions plus indexation depreciation - BR - 2017/18 year average CPIH deflated</v>
      </c>
      <c r="F336" s="128">
        <f t="shared" si="71"/>
        <v>0</v>
      </c>
      <c r="G336" s="128" t="str">
        <f t="shared" si="71"/>
        <v>£m</v>
      </c>
      <c r="H336" s="52">
        <f t="shared" si="71"/>
        <v>25.343567075405623</v>
      </c>
      <c r="J336" s="91"/>
      <c r="K336" s="82"/>
    </row>
    <row r="337" spans="1:21" ht="12.75" customHeight="1" outlineLevel="2">
      <c r="A337" s="25"/>
      <c r="B337" s="18"/>
      <c r="C337" s="19"/>
      <c r="D337" s="747" t="str">
        <f>InpC!$F$27</f>
        <v>PR19</v>
      </c>
      <c r="E337" s="97" t="s">
        <v>126</v>
      </c>
      <c r="F337" s="130"/>
      <c r="G337" s="130" t="s">
        <v>2</v>
      </c>
      <c r="H337" s="185">
        <f>SUM(H331:H336)</f>
        <v>415.75931928582276</v>
      </c>
      <c r="J337" s="82"/>
      <c r="K337" s="82"/>
    </row>
    <row r="338" spans="1:21" ht="12.75" customHeight="1" outlineLevel="1">
      <c r="A338" s="25"/>
      <c r="B338" s="18"/>
      <c r="C338" s="19"/>
      <c r="D338" s="91"/>
      <c r="E338" s="91"/>
      <c r="F338" s="128"/>
      <c r="G338" s="128"/>
      <c r="H338" s="184"/>
      <c r="J338" s="82"/>
      <c r="K338" s="82"/>
    </row>
    <row r="339" spans="1:21" customFormat="1" ht="14.4" outlineLevel="1">
      <c r="A339" s="106"/>
      <c r="B339" s="270" t="s">
        <v>120</v>
      </c>
      <c r="C339" s="164"/>
      <c r="D339" s="165"/>
      <c r="F339" s="274"/>
      <c r="G339" s="274"/>
      <c r="H339" s="271"/>
      <c r="I339" s="45"/>
      <c r="J339" s="271"/>
      <c r="K339" s="271"/>
      <c r="L339" s="271"/>
      <c r="M339" s="271"/>
      <c r="N339" s="271"/>
      <c r="O339" s="271"/>
      <c r="P339" s="271"/>
      <c r="Q339" s="271"/>
      <c r="R339" s="271"/>
      <c r="S339" s="271"/>
      <c r="T339" s="271"/>
      <c r="U339" s="271"/>
    </row>
    <row r="340" spans="1:21" ht="12.75" customHeight="1" outlineLevel="1">
      <c r="A340" s="25"/>
      <c r="B340" s="18"/>
      <c r="C340" s="19"/>
      <c r="D340" s="86"/>
      <c r="E340" s="110" t="str">
        <f>InpC!E$36</f>
        <v>Company type switch</v>
      </c>
      <c r="F340" s="412">
        <f>InpC!F$36</f>
        <v>0</v>
      </c>
      <c r="G340" s="110" t="str">
        <f>InpC!G$36</f>
        <v xml:space="preserve">0 = WaSC, 1 = WoC </v>
      </c>
      <c r="H340" s="110"/>
      <c r="J340" s="117"/>
      <c r="K340" s="83"/>
    </row>
    <row r="341" spans="1:21" ht="12.75" customHeight="1" outlineLevel="1">
      <c r="A341" s="25"/>
      <c r="B341" s="79"/>
      <c r="C341" s="79"/>
      <c r="D341" s="87" t="str">
        <f>D$219</f>
        <v>PR14</v>
      </c>
      <c r="E341" s="87" t="str">
        <f t="shared" ref="E341:H341" si="72">E$219</f>
        <v>RCV depreciation - 201718 year average CPIH deflated - Wastewater</v>
      </c>
      <c r="F341" s="21">
        <f t="shared" si="72"/>
        <v>0</v>
      </c>
      <c r="G341" s="21" t="str">
        <f t="shared" si="72"/>
        <v>£m</v>
      </c>
      <c r="H341" s="59">
        <f t="shared" si="72"/>
        <v>361.2172370840641</v>
      </c>
      <c r="J341" s="82"/>
      <c r="K341" s="82"/>
    </row>
    <row r="342" spans="1:21" ht="12.75" customHeight="1" outlineLevel="1">
      <c r="A342" s="25"/>
      <c r="B342" s="18"/>
      <c r="C342" s="19"/>
      <c r="D342" s="87" t="str">
        <f>D$337</f>
        <v>PR19</v>
      </c>
      <c r="E342" s="87" t="str">
        <f t="shared" ref="E342:H342" si="73">E$337</f>
        <v>RCV depreciation - Wastewater</v>
      </c>
      <c r="F342" s="21">
        <f t="shared" si="73"/>
        <v>0</v>
      </c>
      <c r="G342" s="21" t="str">
        <f t="shared" si="73"/>
        <v>£m</v>
      </c>
      <c r="H342" s="59">
        <f t="shared" si="73"/>
        <v>415.75931928582276</v>
      </c>
      <c r="J342" s="82"/>
      <c r="K342" s="82"/>
    </row>
    <row r="343" spans="1:21" s="79" customFormat="1" ht="12.75" customHeight="1" outlineLevel="1">
      <c r="D343" s="91"/>
      <c r="E343" s="91" t="s">
        <v>30</v>
      </c>
      <c r="F343" s="128"/>
      <c r="G343" s="128" t="s">
        <v>2</v>
      </c>
      <c r="H343" s="184">
        <f xml:space="preserve"> IF(F$340 = 1, 0,  H342 - H341)</f>
        <v>54.54208220175866</v>
      </c>
      <c r="I343" s="45"/>
      <c r="J343" s="82"/>
      <c r="K343" s="82"/>
      <c r="L343" s="78"/>
      <c r="M343" s="78"/>
      <c r="N343" s="78"/>
      <c r="O343" s="78"/>
      <c r="P343" s="78"/>
      <c r="Q343" s="78"/>
      <c r="R343" s="78"/>
      <c r="S343" s="78"/>
      <c r="T343" s="78"/>
      <c r="U343" s="78"/>
    </row>
    <row r="344" spans="1:21" ht="12.75" customHeight="1" outlineLevel="1">
      <c r="A344" s="45"/>
      <c r="B344" s="45"/>
      <c r="C344" s="45"/>
      <c r="D344" s="87"/>
      <c r="E344" s="86"/>
      <c r="F344" s="125"/>
      <c r="G344" s="125"/>
      <c r="H344" s="125"/>
      <c r="J344" s="82"/>
      <c r="K344" s="82"/>
    </row>
    <row r="345" spans="1:21" customFormat="1" ht="14.4" outlineLevel="1">
      <c r="A345" s="106"/>
      <c r="B345" s="270" t="s">
        <v>404</v>
      </c>
      <c r="C345" s="164"/>
      <c r="D345" s="165"/>
      <c r="F345" s="274"/>
      <c r="G345" s="274"/>
      <c r="H345" s="271"/>
      <c r="I345" s="45"/>
      <c r="J345" s="82"/>
      <c r="K345" s="271"/>
      <c r="L345" s="271"/>
      <c r="M345" s="271"/>
      <c r="N345" s="271"/>
      <c r="O345" s="271"/>
      <c r="P345" s="271"/>
      <c r="Q345" s="271"/>
      <c r="R345" s="271"/>
      <c r="S345" s="271"/>
      <c r="T345" s="271"/>
      <c r="U345" s="271"/>
    </row>
    <row r="346" spans="1:21" ht="12.75" customHeight="1" outlineLevel="1">
      <c r="A346" s="25"/>
      <c r="B346" s="18"/>
      <c r="C346" s="19"/>
      <c r="D346" s="86"/>
      <c r="E346" s="110" t="str">
        <f>InpC!E$36</f>
        <v>Company type switch</v>
      </c>
      <c r="F346" s="412">
        <f>InpC!F$36</f>
        <v>0</v>
      </c>
      <c r="G346" s="110" t="str">
        <f>InpC!G$36</f>
        <v xml:space="preserve">0 = WaSC, 1 = WoC </v>
      </c>
      <c r="H346" s="110"/>
      <c r="J346" s="117"/>
      <c r="K346" s="83"/>
    </row>
    <row r="347" spans="1:21" ht="12.75" customHeight="1" outlineLevel="1">
      <c r="A347" s="25"/>
      <c r="B347" s="18"/>
      <c r="C347" s="19"/>
      <c r="D347" s="91" t="str">
        <f>D$329</f>
        <v>PR19</v>
      </c>
      <c r="E347" s="91" t="str">
        <f t="shared" ref="E347:H347" si="74">E$329</f>
        <v>RCV balance - Wastewater</v>
      </c>
      <c r="F347" s="21">
        <f t="shared" si="74"/>
        <v>0</v>
      </c>
      <c r="G347" s="21" t="str">
        <f t="shared" si="74"/>
        <v>£m</v>
      </c>
      <c r="H347" s="59">
        <f t="shared" si="74"/>
        <v>7769.9019505118913</v>
      </c>
      <c r="J347" s="82"/>
      <c r="K347" s="82"/>
    </row>
    <row r="348" spans="1:21" ht="12.75" customHeight="1" outlineLevel="1">
      <c r="A348" s="25"/>
      <c r="B348" s="18"/>
      <c r="C348" s="19"/>
      <c r="D348" s="91" t="str">
        <f>D$337</f>
        <v>PR19</v>
      </c>
      <c r="E348" s="91" t="str">
        <f t="shared" ref="E348:H348" si="75">E$337</f>
        <v>RCV depreciation - Wastewater</v>
      </c>
      <c r="F348" s="21">
        <f t="shared" si="75"/>
        <v>0</v>
      </c>
      <c r="G348" s="21" t="str">
        <f t="shared" si="75"/>
        <v>£m</v>
      </c>
      <c r="H348" s="59">
        <f t="shared" si="75"/>
        <v>415.75931928582276</v>
      </c>
      <c r="J348" s="82"/>
      <c r="K348" s="82"/>
    </row>
    <row r="349" spans="1:21" ht="12.75" customHeight="1" outlineLevel="1">
      <c r="A349" s="25"/>
      <c r="B349" s="18"/>
      <c r="C349" s="19"/>
      <c r="D349" s="746" t="str">
        <f>InpC!$F$27</f>
        <v>PR19</v>
      </c>
      <c r="E349" s="91" t="s">
        <v>45</v>
      </c>
      <c r="F349" s="128"/>
      <c r="G349" s="128" t="s">
        <v>3</v>
      </c>
      <c r="H349" s="186">
        <f xml:space="preserve"> IFERROR( IF(F$346 = 1, 0,  H348 / H347), 0)</f>
        <v>5.3508953128865673E-2</v>
      </c>
      <c r="J349" s="82"/>
      <c r="K349" s="82"/>
    </row>
    <row r="350" spans="1:21" ht="12.75" customHeight="1" outlineLevel="1">
      <c r="A350" s="25"/>
      <c r="B350" s="18"/>
      <c r="C350" s="19"/>
      <c r="D350" s="91"/>
      <c r="E350" s="91"/>
      <c r="F350" s="128"/>
      <c r="G350" s="128"/>
      <c r="H350" s="184"/>
      <c r="J350" s="82"/>
      <c r="K350" s="82"/>
    </row>
    <row r="351" spans="1:21" ht="12.75" customHeight="1" outlineLevel="1">
      <c r="A351" s="25"/>
      <c r="B351" s="18"/>
      <c r="C351" s="19"/>
      <c r="D351" s="86"/>
      <c r="E351" s="110" t="str">
        <f>InpC!E$36</f>
        <v>Company type switch</v>
      </c>
      <c r="F351" s="412">
        <f>InpC!F$36</f>
        <v>0</v>
      </c>
      <c r="G351" s="110" t="str">
        <f>InpC!G$36</f>
        <v xml:space="preserve">0 = WaSC, 1 = WoC </v>
      </c>
      <c r="H351" s="110"/>
      <c r="J351" s="117"/>
      <c r="K351" s="83"/>
    </row>
    <row r="352" spans="1:21" ht="12.75" customHeight="1" outlineLevel="1">
      <c r="A352" s="45"/>
      <c r="B352" s="45"/>
      <c r="C352" s="45"/>
      <c r="D352" s="748" t="str">
        <f t="shared" ref="D352:G352" si="76">D$215</f>
        <v>PR14</v>
      </c>
      <c r="E352" s="59" t="str">
        <f t="shared" si="76"/>
        <v>RCV - 201718 year average CPIH deflated - Wastewater</v>
      </c>
      <c r="F352" s="131">
        <f t="shared" si="76"/>
        <v>0</v>
      </c>
      <c r="G352" s="131" t="str">
        <f t="shared" si="76"/>
        <v>£m</v>
      </c>
      <c r="H352" s="187">
        <f>H$215</f>
        <v>7118.1290248398318</v>
      </c>
      <c r="J352" s="82"/>
      <c r="K352" s="82"/>
    </row>
    <row r="353" spans="1:21" ht="12.75" customHeight="1" outlineLevel="1">
      <c r="A353" s="45"/>
      <c r="B353" s="45"/>
      <c r="C353" s="45"/>
      <c r="D353" s="87" t="str">
        <f>D$349</f>
        <v>PR19</v>
      </c>
      <c r="E353" s="87" t="str">
        <f t="shared" ref="E353:H353" si="77">E$349</f>
        <v>PR19 Weighted average run-off rate - Wastewater</v>
      </c>
      <c r="F353" s="731">
        <f t="shared" si="77"/>
        <v>0</v>
      </c>
      <c r="G353" s="21" t="str">
        <f t="shared" si="77"/>
        <v>%</v>
      </c>
      <c r="H353" s="731">
        <f t="shared" si="77"/>
        <v>5.3508953128865673E-2</v>
      </c>
      <c r="J353" s="82"/>
      <c r="K353" s="82"/>
    </row>
    <row r="354" spans="1:21" s="79" customFormat="1" ht="12.75" customHeight="1" outlineLevel="1">
      <c r="D354" s="92"/>
      <c r="E354" s="92" t="s">
        <v>72</v>
      </c>
      <c r="F354" s="131"/>
      <c r="G354" s="131" t="s">
        <v>2</v>
      </c>
      <c r="H354" s="187">
        <f xml:space="preserve">  IF(F$351 = 1, 0,  H353 * H352)</f>
        <v>380.88363235537287</v>
      </c>
      <c r="I354" s="45"/>
      <c r="J354" s="82"/>
      <c r="K354" s="82"/>
      <c r="L354" s="78"/>
      <c r="M354" s="78"/>
      <c r="N354" s="78"/>
      <c r="O354" s="78"/>
      <c r="P354" s="78"/>
      <c r="Q354" s="78"/>
      <c r="R354" s="78"/>
      <c r="S354" s="78"/>
      <c r="T354" s="78"/>
      <c r="U354" s="78"/>
    </row>
    <row r="355" spans="1:21" ht="12.75" customHeight="1" outlineLevel="1">
      <c r="A355" s="25"/>
      <c r="B355" s="45"/>
      <c r="C355" s="45"/>
      <c r="D355" s="86"/>
      <c r="E355" s="86"/>
      <c r="F355" s="125"/>
      <c r="G355" s="125"/>
      <c r="H355" s="125"/>
      <c r="J355" s="82"/>
      <c r="K355" s="82"/>
    </row>
    <row r="356" spans="1:21" customFormat="1" ht="14.4" outlineLevel="1">
      <c r="A356" s="106"/>
      <c r="B356" s="270" t="s">
        <v>265</v>
      </c>
      <c r="C356" s="164"/>
      <c r="D356" s="165"/>
      <c r="F356" s="274"/>
      <c r="G356" s="274"/>
      <c r="H356" s="271"/>
      <c r="I356" s="45"/>
      <c r="J356" s="271"/>
      <c r="K356" s="271"/>
      <c r="L356" s="271"/>
      <c r="M356" s="271"/>
      <c r="N356" s="271"/>
      <c r="O356" s="271"/>
      <c r="P356" s="271"/>
      <c r="Q356" s="271"/>
      <c r="R356" s="271"/>
      <c r="S356" s="271"/>
      <c r="T356" s="271"/>
      <c r="U356" s="271"/>
    </row>
    <row r="357" spans="1:21" ht="12.75" customHeight="1" outlineLevel="1">
      <c r="A357" s="25"/>
      <c r="B357" s="18"/>
      <c r="C357" s="19"/>
      <c r="D357" s="86"/>
      <c r="E357" s="110" t="str">
        <f>InpC!E$36</f>
        <v>Company type switch</v>
      </c>
      <c r="F357" s="412">
        <f>InpC!F$36</f>
        <v>0</v>
      </c>
      <c r="G357" s="110" t="str">
        <f>InpC!G$36</f>
        <v xml:space="preserve">0 = WaSC, 1 = WoC </v>
      </c>
      <c r="H357" s="110"/>
      <c r="J357" s="117"/>
      <c r="K357" s="83"/>
    </row>
    <row r="358" spans="1:21" ht="12.75" customHeight="1" outlineLevel="1">
      <c r="A358" s="25"/>
      <c r="B358" s="79"/>
      <c r="C358" s="79"/>
      <c r="D358" s="87" t="str">
        <f>D$219</f>
        <v>PR14</v>
      </c>
      <c r="E358" s="87" t="str">
        <f t="shared" ref="E358:H358" si="78">E$219</f>
        <v>RCV depreciation - 201718 year average CPIH deflated - Wastewater</v>
      </c>
      <c r="F358" s="21">
        <f t="shared" si="78"/>
        <v>0</v>
      </c>
      <c r="G358" s="21" t="str">
        <f t="shared" si="78"/>
        <v>£m</v>
      </c>
      <c r="H358" s="59">
        <f t="shared" si="78"/>
        <v>361.2172370840641</v>
      </c>
      <c r="J358" s="82"/>
      <c r="K358" s="82"/>
    </row>
    <row r="359" spans="1:21" ht="12.75" customHeight="1" outlineLevel="1">
      <c r="A359" s="77"/>
      <c r="B359" s="18"/>
      <c r="C359" s="19"/>
      <c r="D359" s="87"/>
      <c r="E359" s="87" t="str">
        <f>E$354</f>
        <v>PR14 RCV depreciation with PR19 run-off rate - Wastewater</v>
      </c>
      <c r="F359" s="21">
        <f t="shared" ref="F359:H359" si="79">F$354</f>
        <v>0</v>
      </c>
      <c r="G359" s="21" t="str">
        <f t="shared" si="79"/>
        <v>£m</v>
      </c>
      <c r="H359" s="59">
        <f t="shared" si="79"/>
        <v>380.88363235537287</v>
      </c>
      <c r="J359" s="82"/>
      <c r="K359" s="82"/>
    </row>
    <row r="360" spans="1:21" ht="12.75" customHeight="1" outlineLevel="1">
      <c r="A360" s="25"/>
      <c r="B360" s="45"/>
      <c r="C360" s="45"/>
      <c r="D360" s="139"/>
      <c r="E360" s="58" t="s">
        <v>34</v>
      </c>
      <c r="F360" s="96"/>
      <c r="G360" s="96" t="s">
        <v>2</v>
      </c>
      <c r="H360" s="188">
        <f>IF(F$357 = 1, 0, H359 - H358)</f>
        <v>19.666395271308772</v>
      </c>
      <c r="J360" s="94"/>
      <c r="K360" s="82"/>
    </row>
    <row r="361" spans="1:21" customFormat="1" ht="14.4" outlineLevel="1">
      <c r="A361" s="106"/>
      <c r="B361" s="270"/>
      <c r="C361" s="164"/>
      <c r="D361" s="165"/>
      <c r="F361" s="274"/>
      <c r="G361" s="274"/>
      <c r="H361" s="271"/>
      <c r="I361" s="45"/>
      <c r="J361" s="271"/>
      <c r="K361" s="271"/>
      <c r="L361" s="271"/>
      <c r="M361" s="271"/>
      <c r="N361" s="271"/>
      <c r="O361" s="271"/>
      <c r="P361" s="271"/>
      <c r="Q361" s="271"/>
      <c r="R361" s="271"/>
      <c r="S361" s="271"/>
      <c r="T361" s="271"/>
      <c r="U361" s="271"/>
    </row>
    <row r="362" spans="1:21" customFormat="1" ht="14.4" outlineLevel="1">
      <c r="A362" s="106"/>
      <c r="B362" s="270" t="s">
        <v>403</v>
      </c>
      <c r="C362" s="164"/>
      <c r="D362" s="165"/>
      <c r="F362" s="274"/>
      <c r="G362" s="274"/>
      <c r="H362" s="271"/>
      <c r="I362" s="45"/>
      <c r="J362" s="271"/>
      <c r="K362" s="271"/>
      <c r="L362" s="271"/>
      <c r="M362" s="271"/>
      <c r="N362" s="271"/>
      <c r="O362" s="271"/>
      <c r="P362" s="271"/>
      <c r="Q362" s="271"/>
      <c r="R362" s="271"/>
      <c r="S362" s="271"/>
      <c r="T362" s="271"/>
      <c r="U362" s="271"/>
    </row>
    <row r="363" spans="1:21" ht="12.75" customHeight="1" outlineLevel="1">
      <c r="A363" s="25"/>
      <c r="B363" s="18"/>
      <c r="C363" s="19"/>
      <c r="D363" s="86"/>
      <c r="E363" s="110" t="str">
        <f>InpC!E$36</f>
        <v>Company type switch</v>
      </c>
      <c r="F363" s="412">
        <f>InpC!F$36</f>
        <v>0</v>
      </c>
      <c r="G363" s="110" t="str">
        <f>InpC!G$36</f>
        <v xml:space="preserve">0 = WaSC, 1 = WoC </v>
      </c>
      <c r="H363" s="110"/>
      <c r="J363" s="117"/>
      <c r="K363" s="83"/>
    </row>
    <row r="364" spans="1:21" ht="12.75" customHeight="1" outlineLevel="1">
      <c r="A364" s="25"/>
      <c r="B364" s="45"/>
      <c r="C364" s="45"/>
      <c r="D364" s="86"/>
      <c r="E364" s="58" t="str">
        <f>E$343</f>
        <v>Change in RCV depreciation - Wastewater</v>
      </c>
      <c r="F364" s="145">
        <f t="shared" ref="F364:H364" si="80">F$343</f>
        <v>0</v>
      </c>
      <c r="G364" s="145" t="str">
        <f t="shared" si="80"/>
        <v>£m</v>
      </c>
      <c r="H364" s="85">
        <f t="shared" si="80"/>
        <v>54.54208220175866</v>
      </c>
      <c r="J364" s="82"/>
      <c r="K364" s="82"/>
    </row>
    <row r="365" spans="1:21" ht="12.75" customHeight="1" outlineLevel="1">
      <c r="A365" s="77"/>
      <c r="B365" s="45"/>
      <c r="C365" s="45"/>
      <c r="D365" s="86"/>
      <c r="E365" s="58" t="str">
        <f>E$360</f>
        <v>Change in RCV depreciation due to change in run-off rate - Wastewater</v>
      </c>
      <c r="F365" s="145">
        <f t="shared" ref="F365:H365" si="81">F$360</f>
        <v>0</v>
      </c>
      <c r="G365" s="145" t="str">
        <f t="shared" si="81"/>
        <v>£m</v>
      </c>
      <c r="H365" s="85">
        <f t="shared" si="81"/>
        <v>19.666395271308772</v>
      </c>
      <c r="J365" s="82"/>
      <c r="K365" s="82"/>
    </row>
    <row r="366" spans="1:21" s="57" customFormat="1" ht="14.4" outlineLevel="1">
      <c r="A366" s="54"/>
      <c r="D366" s="139"/>
      <c r="E366" s="58" t="s">
        <v>35</v>
      </c>
      <c r="F366" s="96"/>
      <c r="G366" s="96" t="s">
        <v>2</v>
      </c>
      <c r="H366" s="188">
        <f>IF(F$363 = 1, 0, H364 - H365)</f>
        <v>34.875686930449888</v>
      </c>
      <c r="I366" s="45"/>
      <c r="J366" s="94"/>
      <c r="K366" s="94"/>
    </row>
    <row r="367" spans="1:21" s="57" customFormat="1" ht="14.4">
      <c r="A367" s="54"/>
      <c r="B367" s="11"/>
      <c r="D367" s="139"/>
      <c r="E367" s="58"/>
      <c r="F367" s="96"/>
      <c r="G367" s="96"/>
      <c r="H367" s="188"/>
      <c r="I367" s="45"/>
      <c r="J367" s="94"/>
      <c r="K367" s="94"/>
    </row>
    <row r="368" spans="1:21" s="57" customFormat="1" ht="14.4">
      <c r="A368" s="54"/>
      <c r="B368" s="11" t="s">
        <v>269</v>
      </c>
      <c r="D368" s="139"/>
      <c r="E368" s="58"/>
      <c r="F368" s="96"/>
      <c r="G368" s="96"/>
      <c r="H368" s="188"/>
      <c r="I368" s="45"/>
      <c r="J368" s="94"/>
      <c r="K368" s="94"/>
    </row>
    <row r="369" spans="1:21" customFormat="1" ht="14.4">
      <c r="A369" s="106"/>
      <c r="B369" s="270" t="s">
        <v>121</v>
      </c>
      <c r="C369" s="164"/>
      <c r="D369" s="165"/>
      <c r="F369" s="274"/>
      <c r="G369" s="274"/>
      <c r="H369" s="271"/>
      <c r="I369" s="45"/>
      <c r="J369" s="271"/>
      <c r="K369" s="271"/>
      <c r="L369" s="271"/>
      <c r="M369" s="271"/>
      <c r="N369" s="271"/>
      <c r="O369" s="271"/>
      <c r="P369" s="271"/>
      <c r="Q369" s="271"/>
      <c r="R369" s="271"/>
      <c r="S369" s="271"/>
      <c r="T369" s="271"/>
      <c r="U369" s="271"/>
    </row>
    <row r="370" spans="1:21" s="57" customFormat="1" ht="14.4">
      <c r="A370" s="54"/>
      <c r="D370" s="139"/>
      <c r="E370" s="144" t="str">
        <f>E$179</f>
        <v>Change in RCV depreciation due to change in run-off rate - Water</v>
      </c>
      <c r="F370" s="145">
        <f t="shared" ref="F370:H370" si="82">F$179</f>
        <v>0</v>
      </c>
      <c r="G370" s="145" t="str">
        <f t="shared" si="82"/>
        <v>£m</v>
      </c>
      <c r="H370" s="85">
        <f t="shared" si="82"/>
        <v>64.90521703302872</v>
      </c>
      <c r="I370" s="45"/>
      <c r="K370" s="94"/>
    </row>
    <row r="371" spans="1:21" s="57" customFormat="1" ht="14.4">
      <c r="A371" s="54"/>
      <c r="D371" s="139"/>
      <c r="E371" s="144" t="str">
        <f>E$360</f>
        <v>Change in RCV depreciation due to change in run-off rate - Wastewater</v>
      </c>
      <c r="F371" s="145">
        <f t="shared" ref="F371:H371" si="83">F$360</f>
        <v>0</v>
      </c>
      <c r="G371" s="145" t="str">
        <f t="shared" si="83"/>
        <v>£m</v>
      </c>
      <c r="H371" s="85">
        <f t="shared" si="83"/>
        <v>19.666395271308772</v>
      </c>
      <c r="I371" s="45"/>
      <c r="K371" s="94"/>
    </row>
    <row r="372" spans="1:21" s="120" customFormat="1" ht="14.4">
      <c r="A372" s="11"/>
      <c r="D372" s="144"/>
      <c r="E372" s="296" t="s">
        <v>122</v>
      </c>
      <c r="F372" s="297"/>
      <c r="G372" s="297" t="s">
        <v>2</v>
      </c>
      <c r="H372" s="299">
        <f>SUM(H370:H371)</f>
        <v>84.571612304337492</v>
      </c>
      <c r="I372" s="45"/>
      <c r="J372" s="120" t="s">
        <v>502</v>
      </c>
      <c r="K372" s="157"/>
    </row>
    <row r="373" spans="1:21" s="58" customFormat="1" ht="14.4">
      <c r="A373" s="35"/>
      <c r="D373" s="138"/>
      <c r="E373" s="139"/>
      <c r="F373" s="132"/>
      <c r="G373" s="132"/>
      <c r="H373" s="175"/>
      <c r="I373" s="45"/>
      <c r="J373" s="45"/>
      <c r="K373" s="100"/>
    </row>
    <row r="374" spans="1:21" s="57" customFormat="1" ht="14.4">
      <c r="A374" s="54"/>
      <c r="D374" s="139"/>
      <c r="E374" s="144" t="str">
        <f>E$184</f>
        <v>Change in RCV depreciation due to change in RCV - Water</v>
      </c>
      <c r="F374" s="145">
        <f t="shared" ref="F374:H374" si="84">F$184</f>
        <v>0</v>
      </c>
      <c r="G374" s="145" t="str">
        <f t="shared" si="84"/>
        <v>£m</v>
      </c>
      <c r="H374" s="85">
        <f t="shared" si="84"/>
        <v>74.638800651440022</v>
      </c>
      <c r="I374" s="45"/>
      <c r="J374" s="196"/>
      <c r="K374" s="94"/>
    </row>
    <row r="375" spans="1:21" s="57" customFormat="1" ht="14.4">
      <c r="A375" s="54"/>
      <c r="D375" s="139"/>
      <c r="E375" s="144" t="str">
        <f>E$366</f>
        <v>Change in RCV depreciation due to change in RCV - Wastewater</v>
      </c>
      <c r="F375" s="145">
        <f t="shared" ref="F375:H375" si="85">F$366</f>
        <v>0</v>
      </c>
      <c r="G375" s="145" t="str">
        <f t="shared" si="85"/>
        <v>£m</v>
      </c>
      <c r="H375" s="85">
        <f t="shared" si="85"/>
        <v>34.875686930449888</v>
      </c>
      <c r="I375" s="45"/>
      <c r="J375" s="196"/>
      <c r="K375" s="94"/>
    </row>
    <row r="376" spans="1:21" s="120" customFormat="1" ht="12.75" customHeight="1">
      <c r="A376" s="25"/>
      <c r="B376" s="18"/>
      <c r="C376" s="19"/>
      <c r="D376" s="169"/>
      <c r="E376" s="296" t="s">
        <v>123</v>
      </c>
      <c r="F376" s="297"/>
      <c r="G376" s="297" t="s">
        <v>2</v>
      </c>
      <c r="H376" s="298">
        <f>SUM(H374:H375)</f>
        <v>109.51448758188991</v>
      </c>
      <c r="I376" s="45"/>
      <c r="J376" s="120" t="s">
        <v>502</v>
      </c>
      <c r="K376" s="157"/>
    </row>
    <row r="377" spans="1:21" s="120" customFormat="1" ht="12.75" customHeight="1">
      <c r="A377" s="25"/>
      <c r="B377" s="18"/>
      <c r="C377" s="19"/>
      <c r="D377" s="169"/>
      <c r="E377" s="139"/>
      <c r="F377" s="132"/>
      <c r="G377" s="132"/>
      <c r="H377" s="292"/>
      <c r="I377" s="45"/>
      <c r="K377" s="157"/>
    </row>
    <row r="378" spans="1:21" s="120" customFormat="1" ht="12.75" customHeight="1">
      <c r="A378" s="54"/>
      <c r="B378" s="11" t="s">
        <v>82</v>
      </c>
      <c r="C378" s="57"/>
      <c r="D378" s="139"/>
      <c r="E378" s="58"/>
      <c r="F378" s="96"/>
      <c r="G378" s="96"/>
      <c r="H378" s="188"/>
      <c r="I378" s="45"/>
      <c r="K378" s="157"/>
    </row>
    <row r="379" spans="1:21" s="120" customFormat="1" ht="12.75" customHeight="1">
      <c r="A379" s="25"/>
      <c r="B379" s="18"/>
      <c r="C379" s="19"/>
      <c r="D379" s="169" t="str">
        <f>D$160</f>
        <v>PR19</v>
      </c>
      <c r="E379" s="169" t="str">
        <f t="shared" ref="E379:H379" si="86">E$160</f>
        <v>RCV depreciation - Water</v>
      </c>
      <c r="F379" s="231">
        <f t="shared" si="86"/>
        <v>0</v>
      </c>
      <c r="G379" s="231" t="str">
        <f t="shared" si="86"/>
        <v>£m</v>
      </c>
      <c r="H379" s="566">
        <f t="shared" si="86"/>
        <v>344.01316173705072</v>
      </c>
      <c r="I379" s="45"/>
      <c r="K379" s="157"/>
    </row>
    <row r="380" spans="1:21" s="120" customFormat="1" ht="12.75" customHeight="1">
      <c r="A380" s="25"/>
      <c r="B380" s="18"/>
      <c r="C380" s="19"/>
      <c r="D380" s="169" t="str">
        <f>D$42</f>
        <v>PR14</v>
      </c>
      <c r="E380" s="169" t="str">
        <f t="shared" ref="E380:H380" si="87">E$42</f>
        <v>RCV depreciation - 201718 year average CPIH deflated - Water</v>
      </c>
      <c r="F380" s="231">
        <f t="shared" si="87"/>
        <v>0</v>
      </c>
      <c r="G380" s="231" t="str">
        <f t="shared" si="87"/>
        <v>£m</v>
      </c>
      <c r="H380" s="566">
        <f t="shared" si="87"/>
        <v>204.46914405258198</v>
      </c>
      <c r="I380" s="45"/>
      <c r="K380" s="157"/>
    </row>
    <row r="381" spans="1:21" s="120" customFormat="1" ht="12.75" customHeight="1">
      <c r="A381" s="25"/>
      <c r="B381" s="18"/>
      <c r="C381" s="19"/>
      <c r="D381" s="169"/>
      <c r="E381" s="160" t="str">
        <f>E$370</f>
        <v>Change in RCV depreciation due to change in run-off rate - Water</v>
      </c>
      <c r="F381" s="231">
        <f t="shared" ref="F381:H381" si="88">F$370</f>
        <v>0</v>
      </c>
      <c r="G381" s="231" t="str">
        <f t="shared" si="88"/>
        <v>£m</v>
      </c>
      <c r="H381" s="566">
        <f t="shared" si="88"/>
        <v>64.90521703302872</v>
      </c>
      <c r="I381" s="45"/>
      <c r="K381" s="157"/>
    </row>
    <row r="382" spans="1:21" s="120" customFormat="1" ht="12.75" customHeight="1">
      <c r="A382" s="25"/>
      <c r="B382" s="18"/>
      <c r="C382" s="19"/>
      <c r="D382" s="169"/>
      <c r="E382" s="160" t="str">
        <f>E$374</f>
        <v>Change in RCV depreciation due to change in RCV - Water</v>
      </c>
      <c r="F382" s="231">
        <f t="shared" ref="F382:H382" si="89">F$374</f>
        <v>0</v>
      </c>
      <c r="G382" s="231" t="str">
        <f t="shared" si="89"/>
        <v>£m</v>
      </c>
      <c r="H382" s="566">
        <f t="shared" si="89"/>
        <v>74.638800651440022</v>
      </c>
      <c r="I382" s="45"/>
      <c r="K382" s="157"/>
    </row>
    <row r="383" spans="1:21" s="120" customFormat="1" ht="12.75" customHeight="1">
      <c r="A383" s="25"/>
      <c r="B383" s="18"/>
      <c r="C383" s="19"/>
      <c r="D383" s="169"/>
      <c r="E383" s="301" t="s">
        <v>148</v>
      </c>
      <c r="F383" s="145"/>
      <c r="G383" s="145" t="s">
        <v>351</v>
      </c>
      <c r="H383" s="300">
        <f>IF(ABS( (H379 - H380) - (H381 + H382) ) &gt;  InpC!$F$10, 1, 0)</f>
        <v>0</v>
      </c>
      <c r="I383" s="45"/>
      <c r="K383" s="157"/>
    </row>
    <row r="384" spans="1:21" s="120" customFormat="1" ht="12.75" customHeight="1">
      <c r="A384" s="25"/>
      <c r="B384" s="18"/>
      <c r="C384" s="19"/>
      <c r="D384" s="169"/>
      <c r="E384" s="301"/>
      <c r="F384" s="145"/>
      <c r="G384" s="145"/>
      <c r="H384" s="566"/>
      <c r="I384" s="45"/>
      <c r="K384" s="157"/>
    </row>
    <row r="385" spans="1:21" ht="12.75" customHeight="1">
      <c r="A385" s="25"/>
      <c r="B385" s="18"/>
      <c r="C385" s="19"/>
      <c r="D385" s="86"/>
      <c r="E385" s="110" t="str">
        <f>InpC!E$36</f>
        <v>Company type switch</v>
      </c>
      <c r="F385" s="412">
        <f>InpC!F$36</f>
        <v>0</v>
      </c>
      <c r="G385" s="110" t="str">
        <f>InpC!G$36</f>
        <v xml:space="preserve">0 = WaSC, 1 = WoC </v>
      </c>
      <c r="H385" s="110"/>
      <c r="J385" s="117"/>
      <c r="K385" s="83"/>
    </row>
    <row r="386" spans="1:21" s="120" customFormat="1" ht="12.75" customHeight="1">
      <c r="A386" s="25"/>
      <c r="B386" s="18"/>
      <c r="C386" s="19"/>
      <c r="D386" s="169" t="str">
        <f>D$337</f>
        <v>PR19</v>
      </c>
      <c r="E386" s="169" t="str">
        <f t="shared" ref="E386:H386" si="90">E$337</f>
        <v>RCV depreciation - Wastewater</v>
      </c>
      <c r="F386" s="231">
        <f t="shared" si="90"/>
        <v>0</v>
      </c>
      <c r="G386" s="567" t="str">
        <f t="shared" si="90"/>
        <v>£m</v>
      </c>
      <c r="H386" s="568">
        <f t="shared" si="90"/>
        <v>415.75931928582276</v>
      </c>
      <c r="I386" s="45"/>
      <c r="K386" s="157"/>
    </row>
    <row r="387" spans="1:21" s="120" customFormat="1" ht="12.75" customHeight="1">
      <c r="A387" s="25"/>
      <c r="B387" s="18"/>
      <c r="C387" s="19"/>
      <c r="D387" s="169" t="str">
        <f>D$219</f>
        <v>PR14</v>
      </c>
      <c r="E387" s="169" t="str">
        <f t="shared" ref="E387:H387" si="91">E$219</f>
        <v>RCV depreciation - 201718 year average CPIH deflated - Wastewater</v>
      </c>
      <c r="F387" s="231">
        <f t="shared" si="91"/>
        <v>0</v>
      </c>
      <c r="G387" s="567" t="str">
        <f t="shared" si="91"/>
        <v>£m</v>
      </c>
      <c r="H387" s="568">
        <f t="shared" si="91"/>
        <v>361.2172370840641</v>
      </c>
      <c r="I387" s="45"/>
      <c r="K387" s="157"/>
    </row>
    <row r="388" spans="1:21" s="120" customFormat="1" ht="12.75" customHeight="1">
      <c r="A388" s="25"/>
      <c r="B388" s="18"/>
      <c r="C388" s="19"/>
      <c r="D388" s="169"/>
      <c r="E388" s="301" t="str">
        <f>E$371</f>
        <v>Change in RCV depreciation due to change in run-off rate - Wastewater</v>
      </c>
      <c r="F388" s="231">
        <f t="shared" ref="F388:H388" si="92">F$371</f>
        <v>0</v>
      </c>
      <c r="G388" s="567" t="str">
        <f t="shared" si="92"/>
        <v>£m</v>
      </c>
      <c r="H388" s="568">
        <f t="shared" si="92"/>
        <v>19.666395271308772</v>
      </c>
      <c r="I388" s="45"/>
      <c r="K388" s="157"/>
    </row>
    <row r="389" spans="1:21" s="120" customFormat="1" ht="12.75" customHeight="1">
      <c r="A389" s="25"/>
      <c r="B389" s="18"/>
      <c r="C389" s="19"/>
      <c r="D389" s="169"/>
      <c r="E389" s="301" t="str">
        <f>E$375</f>
        <v>Change in RCV depreciation due to change in RCV - Wastewater</v>
      </c>
      <c r="F389" s="231">
        <f t="shared" ref="F389:H389" si="93">F$375</f>
        <v>0</v>
      </c>
      <c r="G389" s="567" t="str">
        <f t="shared" si="93"/>
        <v>£m</v>
      </c>
      <c r="H389" s="568">
        <f t="shared" si="93"/>
        <v>34.875686930449888</v>
      </c>
      <c r="I389" s="45"/>
      <c r="K389" s="157"/>
    </row>
    <row r="390" spans="1:21" s="120" customFormat="1" ht="12.75" customHeight="1">
      <c r="A390" s="25"/>
      <c r="B390" s="18"/>
      <c r="C390" s="19"/>
      <c r="D390" s="169"/>
      <c r="E390" s="301" t="s">
        <v>149</v>
      </c>
      <c r="G390" s="145" t="s">
        <v>351</v>
      </c>
      <c r="H390" s="300">
        <f>IF(ABS( (H386 - H387) - (H388 + H389) ) &gt;  InpC!$F$10, 1, 0) - $F385</f>
        <v>0</v>
      </c>
      <c r="I390" s="45"/>
      <c r="K390" s="157"/>
    </row>
    <row r="391" spans="1:21" ht="12.75" customHeight="1">
      <c r="A391" s="25"/>
      <c r="B391" s="18"/>
      <c r="C391" s="19"/>
      <c r="D391" s="87"/>
      <c r="E391" s="10"/>
      <c r="F391" s="125"/>
      <c r="G391" s="125"/>
      <c r="H391" s="188"/>
      <c r="J391" s="94"/>
      <c r="K391" s="82"/>
    </row>
    <row r="392" spans="1:21" s="65" customFormat="1" ht="15" customHeight="1">
      <c r="A392" s="15" t="s">
        <v>139</v>
      </c>
      <c r="B392" s="15"/>
      <c r="C392" s="16"/>
      <c r="D392" s="135"/>
      <c r="E392" s="135"/>
      <c r="F392" s="17"/>
      <c r="G392" s="17"/>
      <c r="H392" s="15"/>
      <c r="I392" s="15"/>
      <c r="J392" s="15"/>
      <c r="K392" s="82"/>
    </row>
    <row r="393" spans="1:21" s="65" customFormat="1" ht="15" customHeight="1">
      <c r="A393" s="193"/>
      <c r="B393" s="193"/>
      <c r="D393" s="194"/>
      <c r="E393" s="194"/>
      <c r="F393" s="195"/>
      <c r="G393" s="195"/>
      <c r="H393" s="193"/>
      <c r="I393" s="45"/>
      <c r="J393" s="196"/>
      <c r="K393" s="196"/>
    </row>
    <row r="394" spans="1:21" customFormat="1" ht="14.4">
      <c r="A394" s="106"/>
      <c r="B394" s="270" t="s">
        <v>124</v>
      </c>
      <c r="C394" s="164"/>
      <c r="D394" s="165"/>
      <c r="F394" s="274"/>
      <c r="G394" s="274"/>
      <c r="H394" s="271"/>
      <c r="I394" s="45"/>
      <c r="J394" s="271"/>
      <c r="K394" s="271"/>
      <c r="L394" s="271"/>
      <c r="M394" s="271"/>
      <c r="N394" s="271"/>
      <c r="O394" s="271"/>
      <c r="P394" s="271"/>
      <c r="Q394" s="271"/>
      <c r="R394" s="271"/>
      <c r="S394" s="271"/>
      <c r="T394" s="271"/>
      <c r="U394" s="271"/>
    </row>
    <row r="395" spans="1:21">
      <c r="B395" s="11" t="s">
        <v>28</v>
      </c>
    </row>
    <row r="396" spans="1:21" outlineLevel="1"/>
    <row r="397" spans="1:21" customFormat="1" ht="12.75" customHeight="1" outlineLevel="1">
      <c r="A397" s="163"/>
      <c r="B397" s="106"/>
      <c r="C397" s="107" t="str">
        <f>InpC!$F$26</f>
        <v>PR14</v>
      </c>
      <c r="D397" s="165"/>
      <c r="E397" s="109"/>
      <c r="F397" s="108"/>
      <c r="G397" s="108"/>
      <c r="H397" s="109"/>
      <c r="I397" s="45"/>
      <c r="J397" s="109"/>
      <c r="K397" s="109"/>
      <c r="L397" s="109"/>
      <c r="M397" s="109"/>
      <c r="N397" s="109"/>
      <c r="O397" s="109"/>
      <c r="P397" s="109"/>
      <c r="Q397" s="109"/>
      <c r="R397" s="109"/>
      <c r="S397" s="109"/>
      <c r="T397" s="109"/>
      <c r="U397" s="109"/>
    </row>
    <row r="398" spans="1:21" s="42" customFormat="1" ht="12.75" customHeight="1" outlineLevel="1">
      <c r="A398" s="51"/>
      <c r="B398" s="61"/>
      <c r="C398" s="62"/>
      <c r="D398" s="110" t="str">
        <f>InpAct!D$205</f>
        <v>PR14</v>
      </c>
      <c r="E398" s="42" t="str">
        <f>InpAct!E$205</f>
        <v>Average 2015 RCV - real - water</v>
      </c>
      <c r="F398" s="127">
        <f>InpAct!F$205</f>
        <v>0</v>
      </c>
      <c r="G398" s="127" t="str">
        <f>InpAct!G$205</f>
        <v>£m</v>
      </c>
      <c r="H398" s="112">
        <f>InpAct!H$205</f>
        <v>4006.8824086481932</v>
      </c>
      <c r="I398" s="45"/>
      <c r="J398" s="117"/>
      <c r="K398" s="46"/>
      <c r="L398" s="46"/>
    </row>
    <row r="399" spans="1:21" s="29" customFormat="1" ht="12.75" customHeight="1" outlineLevel="1">
      <c r="A399" s="48"/>
      <c r="B399" s="48"/>
      <c r="C399" s="53"/>
      <c r="D399" s="110" t="str">
        <f>InpAct!D$208</f>
        <v>PR14</v>
      </c>
      <c r="E399" s="42" t="str">
        <f>InpAct!E$208</f>
        <v>Average RCV; post 2015 additions - real - water</v>
      </c>
      <c r="F399" s="127">
        <f>InpAct!F$208</f>
        <v>0</v>
      </c>
      <c r="G399" s="127" t="str">
        <f>InpAct!G$208</f>
        <v>£m</v>
      </c>
      <c r="H399" s="112">
        <f>InpAct!H$208</f>
        <v>1126.0430183351523</v>
      </c>
      <c r="I399" s="45"/>
      <c r="J399" s="117"/>
    </row>
    <row r="400" spans="1:21" s="6" customFormat="1" ht="12.75" customHeight="1" outlineLevel="1">
      <c r="A400" s="11"/>
      <c r="B400" s="11"/>
      <c r="C400" s="12"/>
      <c r="D400" s="744" t="str">
        <f>InpC!$F$26</f>
        <v>PR14</v>
      </c>
      <c r="E400" s="190" t="s">
        <v>365</v>
      </c>
      <c r="F400" s="202"/>
      <c r="G400" s="202" t="s">
        <v>2</v>
      </c>
      <c r="H400" s="200">
        <f>SUM(H398:H399)</f>
        <v>5132.9254269833455</v>
      </c>
      <c r="I400" s="45"/>
      <c r="J400" s="29"/>
      <c r="K400" s="29"/>
      <c r="L400" s="29"/>
      <c r="M400" s="29"/>
    </row>
    <row r="401" spans="1:21" s="6" customFormat="1" ht="12.75" customHeight="1" outlineLevel="1">
      <c r="A401" s="11"/>
      <c r="B401" s="11"/>
      <c r="C401" s="12"/>
      <c r="D401" s="86"/>
      <c r="E401" s="86"/>
      <c r="F401" s="125"/>
      <c r="G401" s="125"/>
      <c r="H401" s="85"/>
      <c r="I401" s="45"/>
      <c r="J401" s="29"/>
      <c r="K401" s="29"/>
      <c r="L401" s="29"/>
      <c r="M401" s="29"/>
    </row>
    <row r="402" spans="1:21" s="42" customFormat="1" ht="12.75" customHeight="1" outlineLevel="1">
      <c r="A402" s="51"/>
      <c r="B402" s="51"/>
      <c r="C402" s="147"/>
      <c r="D402" s="694" t="str">
        <f>InpC!D$55</f>
        <v>PR14</v>
      </c>
      <c r="E402" s="31" t="str">
        <f>InpC!E$55</f>
        <v>Adjustment from 2012/13 year average RPI to 2017/18 year average CPIH deflated</v>
      </c>
      <c r="F402" s="726">
        <f>InpC!F$55</f>
        <v>1.1497410673850219</v>
      </c>
      <c r="G402" s="227" t="str">
        <f>InpC!G$55</f>
        <v>factor</v>
      </c>
      <c r="H402" s="227">
        <f>InpC!H$55</f>
        <v>0</v>
      </c>
      <c r="I402" s="45"/>
      <c r="J402" s="148"/>
      <c r="K402" s="148"/>
    </row>
    <row r="403" spans="1:21" s="28" customFormat="1" ht="12.75" customHeight="1" outlineLevel="1">
      <c r="A403" s="22"/>
      <c r="B403" s="22"/>
      <c r="C403" s="226"/>
      <c r="D403" s="86" t="str">
        <f>D400</f>
        <v>PR14</v>
      </c>
      <c r="E403" s="86" t="str">
        <f t="shared" ref="E403:H403" si="94">E400</f>
        <v>Total RCV - real - Water</v>
      </c>
      <c r="F403" s="125">
        <f t="shared" si="94"/>
        <v>0</v>
      </c>
      <c r="G403" s="125" t="str">
        <f t="shared" si="94"/>
        <v>£m</v>
      </c>
      <c r="H403" s="85">
        <f t="shared" si="94"/>
        <v>5132.9254269833455</v>
      </c>
      <c r="I403" s="45"/>
      <c r="J403" s="31"/>
      <c r="K403" s="31"/>
      <c r="L403" s="31"/>
      <c r="M403" s="31"/>
    </row>
    <row r="404" spans="1:21" s="28" customFormat="1" ht="12.75" customHeight="1" outlineLevel="1">
      <c r="A404" s="22"/>
      <c r="B404" s="22"/>
      <c r="C404" s="226"/>
      <c r="D404" s="741" t="str">
        <f>InpC!$F$26</f>
        <v>PR14</v>
      </c>
      <c r="E404" s="86" t="s">
        <v>555</v>
      </c>
      <c r="F404" s="126"/>
      <c r="G404" s="125" t="s">
        <v>2</v>
      </c>
      <c r="H404" s="182">
        <f xml:space="preserve"> H403 * $F402</f>
        <v>5901.535159227551</v>
      </c>
      <c r="I404" s="45"/>
      <c r="J404" s="31"/>
      <c r="K404" s="31"/>
      <c r="L404" s="31"/>
      <c r="M404" s="31"/>
    </row>
    <row r="405" spans="1:21" s="28" customFormat="1" ht="12.75" customHeight="1" outlineLevel="1">
      <c r="A405" s="22"/>
      <c r="B405" s="22"/>
      <c r="C405" s="226"/>
      <c r="D405" s="86"/>
      <c r="E405" s="86"/>
      <c r="F405" s="125"/>
      <c r="G405" s="125"/>
      <c r="H405" s="85"/>
      <c r="I405" s="45"/>
      <c r="J405" s="31"/>
      <c r="K405" s="31"/>
      <c r="L405" s="31"/>
      <c r="M405" s="31"/>
    </row>
    <row r="406" spans="1:21" s="42" customFormat="1" ht="12.75" customHeight="1" outlineLevel="1">
      <c r="A406" s="51"/>
      <c r="B406" s="51"/>
      <c r="C406" s="147"/>
      <c r="D406" s="110" t="str">
        <f>InpAct!D$206</f>
        <v>PR14</v>
      </c>
      <c r="E406" s="42" t="str">
        <f>InpAct!E$206</f>
        <v>Return on 2015 RCV Bf - real - water</v>
      </c>
      <c r="F406" s="127">
        <f>InpAct!F$206</f>
        <v>0</v>
      </c>
      <c r="G406" s="127" t="str">
        <f>InpAct!G$206</f>
        <v>£m</v>
      </c>
      <c r="H406" s="112">
        <f>InpAct!H$206</f>
        <v>144.24776671133495</v>
      </c>
      <c r="I406" s="45"/>
      <c r="J406" s="690"/>
      <c r="K406" s="690"/>
    </row>
    <row r="407" spans="1:21" s="28" customFormat="1" ht="12.75" customHeight="1" outlineLevel="1">
      <c r="A407" s="22"/>
      <c r="B407" s="22"/>
      <c r="C407" s="226"/>
      <c r="D407" s="110" t="str">
        <f>InpAct!D$209</f>
        <v>PR14</v>
      </c>
      <c r="E407" s="42" t="str">
        <f>InpAct!E$209</f>
        <v>Return on RCV Additions - real - water</v>
      </c>
      <c r="F407" s="127">
        <f>InpAct!F$209</f>
        <v>0</v>
      </c>
      <c r="G407" s="127" t="str">
        <f>InpAct!G$209</f>
        <v>£m</v>
      </c>
      <c r="H407" s="112">
        <f>InpAct!H$209</f>
        <v>40.537548660065482</v>
      </c>
      <c r="I407" s="45"/>
      <c r="J407" s="45"/>
      <c r="K407" s="31"/>
      <c r="L407" s="31"/>
      <c r="M407" s="31"/>
    </row>
    <row r="408" spans="1:21" s="28" customFormat="1" ht="12.75" customHeight="1" outlineLevel="1">
      <c r="A408" s="22"/>
      <c r="B408" s="22"/>
      <c r="C408" s="226"/>
      <c r="D408" s="744" t="str">
        <f>InpC!$F$26</f>
        <v>PR14</v>
      </c>
      <c r="E408" s="190" t="s">
        <v>368</v>
      </c>
      <c r="F408" s="202"/>
      <c r="G408" s="202" t="s">
        <v>2</v>
      </c>
      <c r="H408" s="200">
        <f>SUM(H406:H407)</f>
        <v>184.78531537140043</v>
      </c>
      <c r="I408" s="45"/>
      <c r="J408" s="31"/>
      <c r="K408" s="31"/>
      <c r="L408" s="31"/>
      <c r="M408" s="31"/>
    </row>
    <row r="409" spans="1:21" s="28" customFormat="1" ht="12.75" customHeight="1" outlineLevel="1">
      <c r="A409" s="22"/>
      <c r="B409" s="22"/>
      <c r="C409" s="226"/>
      <c r="D409" s="86"/>
      <c r="E409" s="86"/>
      <c r="F409" s="125"/>
      <c r="G409" s="125"/>
      <c r="H409" s="85"/>
      <c r="I409" s="45"/>
      <c r="J409" s="31"/>
      <c r="K409" s="31"/>
      <c r="L409" s="31"/>
      <c r="M409" s="31"/>
    </row>
    <row r="410" spans="1:21" s="42" customFormat="1" ht="12.75" customHeight="1" outlineLevel="1">
      <c r="A410" s="51"/>
      <c r="B410" s="51"/>
      <c r="C410" s="147"/>
      <c r="D410" s="694" t="str">
        <f>InpC!D$55</f>
        <v>PR14</v>
      </c>
      <c r="E410" s="31" t="str">
        <f>InpC!E$55</f>
        <v>Adjustment from 2012/13 year average RPI to 2017/18 year average CPIH deflated</v>
      </c>
      <c r="F410" s="726">
        <f>InpC!F$55</f>
        <v>1.1497410673850219</v>
      </c>
      <c r="G410" s="227" t="str">
        <f>InpC!G$55</f>
        <v>factor</v>
      </c>
      <c r="H410" s="227">
        <f>InpC!H$55</f>
        <v>0</v>
      </c>
      <c r="I410" s="45"/>
      <c r="J410" s="148"/>
      <c r="K410" s="148"/>
    </row>
    <row r="411" spans="1:21" s="6" customFormat="1" ht="12.75" customHeight="1" outlineLevel="1">
      <c r="A411" s="11"/>
      <c r="B411" s="11"/>
      <c r="C411" s="12"/>
      <c r="D411" s="86" t="str">
        <f>D$408</f>
        <v>PR14</v>
      </c>
      <c r="E411" s="86" t="str">
        <f t="shared" ref="E411:H411" si="95">E$408</f>
        <v>Total return on RCV - real - Water</v>
      </c>
      <c r="F411" s="125">
        <f t="shared" si="95"/>
        <v>0</v>
      </c>
      <c r="G411" s="125" t="str">
        <f t="shared" si="95"/>
        <v>£m</v>
      </c>
      <c r="H411" s="85">
        <f t="shared" si="95"/>
        <v>184.78531537140043</v>
      </c>
      <c r="I411" s="45"/>
      <c r="J411" s="29"/>
      <c r="K411" s="29"/>
      <c r="L411" s="29"/>
      <c r="M411" s="29"/>
    </row>
    <row r="412" spans="1:21" s="6" customFormat="1" ht="12.75" customHeight="1" outlineLevel="1">
      <c r="A412" s="11"/>
      <c r="B412" s="11"/>
      <c r="C412" s="12"/>
      <c r="D412" s="741" t="str">
        <f>InpC!$F$26</f>
        <v>PR14</v>
      </c>
      <c r="E412" s="86" t="s">
        <v>556</v>
      </c>
      <c r="F412" s="126"/>
      <c r="G412" s="125" t="s">
        <v>2</v>
      </c>
      <c r="H412" s="182">
        <f xml:space="preserve"> H411 * $F410</f>
        <v>212.45526573219183</v>
      </c>
      <c r="I412" s="45"/>
      <c r="J412" s="29"/>
      <c r="K412" s="29"/>
      <c r="L412" s="29"/>
      <c r="M412" s="29"/>
    </row>
    <row r="413" spans="1:21" ht="12.75" customHeight="1" outlineLevel="1">
      <c r="A413" s="25"/>
      <c r="B413" s="18"/>
      <c r="C413" s="19"/>
      <c r="D413" s="86"/>
      <c r="E413" s="86"/>
      <c r="F413" s="126"/>
      <c r="G413" s="125"/>
      <c r="H413" s="182"/>
      <c r="J413" s="117"/>
      <c r="K413" s="83"/>
    </row>
    <row r="414" spans="1:21" customFormat="1" ht="12.75" customHeight="1" outlineLevel="1">
      <c r="A414" s="163"/>
      <c r="B414" s="106"/>
      <c r="C414" s="107" t="str">
        <f>InpC!$F$27</f>
        <v>PR19</v>
      </c>
      <c r="D414" s="165"/>
      <c r="E414" s="109"/>
      <c r="F414" s="108"/>
      <c r="G414" s="108"/>
      <c r="H414" s="109"/>
      <c r="I414" s="45"/>
      <c r="J414" s="109"/>
      <c r="K414" s="109"/>
      <c r="L414" s="109"/>
      <c r="M414" s="109"/>
      <c r="N414" s="109"/>
      <c r="O414" s="109"/>
      <c r="P414" s="109"/>
      <c r="Q414" s="109"/>
      <c r="R414" s="109"/>
      <c r="S414" s="109"/>
      <c r="T414" s="109"/>
      <c r="U414" s="109"/>
    </row>
    <row r="415" spans="1:21" customFormat="1" ht="14.4" outlineLevel="1">
      <c r="A415" s="106"/>
      <c r="B415" s="270" t="s">
        <v>264</v>
      </c>
      <c r="C415" s="164"/>
      <c r="D415" s="165"/>
      <c r="F415" s="274"/>
      <c r="G415" s="274"/>
      <c r="H415" s="271"/>
      <c r="I415" s="45"/>
      <c r="J415" s="271"/>
      <c r="K415" s="271"/>
      <c r="L415" s="271"/>
      <c r="M415" s="271"/>
      <c r="N415" s="271"/>
      <c r="O415" s="271"/>
      <c r="P415" s="271"/>
      <c r="Q415" s="271"/>
      <c r="R415" s="271"/>
      <c r="S415" s="271"/>
      <c r="T415" s="271"/>
      <c r="U415" s="271"/>
    </row>
    <row r="416" spans="1:21" ht="12.75" customHeight="1" outlineLevel="1">
      <c r="A416" s="25"/>
      <c r="B416" s="25"/>
      <c r="C416" s="26"/>
      <c r="D416" s="618" t="str">
        <f>InpC!D$57</f>
        <v>PR19</v>
      </c>
      <c r="E416" s="618" t="str">
        <f>InpC!E$57</f>
        <v>CPI(H): Fin year average - inflate from base year 2017-18 average</v>
      </c>
      <c r="F416" s="713">
        <f>InpC!F$57</f>
        <v>1.1476732911210807</v>
      </c>
      <c r="G416" s="714" t="str">
        <f>InpC!G$57</f>
        <v>factor</v>
      </c>
      <c r="H416" s="714">
        <f>InpC!H$57</f>
        <v>0</v>
      </c>
      <c r="J416" s="83"/>
      <c r="K416" s="83"/>
    </row>
    <row r="417" spans="1:11" s="57" customFormat="1" ht="14.4" outlineLevel="1">
      <c r="A417" s="54"/>
      <c r="D417" s="110" t="str">
        <f>InpAct!D$219</f>
        <v>PR19</v>
      </c>
      <c r="E417" s="42" t="str">
        <f>InpAct!E$219</f>
        <v>Average of RCV - CPI(H) bf - WR - nominal</v>
      </c>
      <c r="F417" s="127">
        <f>InpAct!F$219</f>
        <v>0</v>
      </c>
      <c r="G417" s="127" t="str">
        <f>InpAct!G$219</f>
        <v>£m</v>
      </c>
      <c r="H417" s="112">
        <f>InpAct!H$219</f>
        <v>141.68895848108855</v>
      </c>
      <c r="I417" s="45"/>
      <c r="J417" s="573"/>
      <c r="K417" s="94"/>
    </row>
    <row r="418" spans="1:11" s="42" customFormat="1" ht="12.75" customHeight="1" outlineLevel="1">
      <c r="A418" s="51"/>
      <c r="B418" s="51"/>
      <c r="C418" s="147"/>
      <c r="D418" s="110" t="str">
        <f>InpAct!D$231</f>
        <v>PR19</v>
      </c>
      <c r="E418" s="110" t="str">
        <f>InpAct!E$231</f>
        <v>Average of RCV - CPI(H) other adjustments balance - WR - nominal</v>
      </c>
      <c r="F418" s="112">
        <f>InpAct!F$231</f>
        <v>0</v>
      </c>
      <c r="G418" s="183" t="str">
        <f>InpAct!G$231</f>
        <v>£m</v>
      </c>
      <c r="H418" s="112">
        <f>InpAct!H$231</f>
        <v>0</v>
      </c>
      <c r="J418" s="148"/>
      <c r="K418" s="148"/>
    </row>
    <row r="419" spans="1:11" s="42" customFormat="1" ht="14.4" outlineLevel="1">
      <c r="A419" s="48"/>
      <c r="D419" s="110" t="str">
        <f>InpAct!D$223</f>
        <v>PR19</v>
      </c>
      <c r="E419" s="42" t="str">
        <f>InpAct!E$223</f>
        <v>Average of RCV - CPI(H) + RPI wedge bf - WR - nominal</v>
      </c>
      <c r="F419" s="127">
        <f>InpAct!F$223</f>
        <v>0</v>
      </c>
      <c r="G419" s="127" t="str">
        <f>InpAct!G$223</f>
        <v>£m</v>
      </c>
      <c r="H419" s="112">
        <f>InpAct!H$223</f>
        <v>148.89505852726296</v>
      </c>
      <c r="I419" s="45"/>
      <c r="J419" s="573"/>
      <c r="K419" s="89"/>
    </row>
    <row r="420" spans="1:11" s="120" customFormat="1" ht="14.4" outlineLevel="1">
      <c r="A420" s="11"/>
      <c r="D420" s="110" t="str">
        <f>InpAct!D$227</f>
        <v>PR19</v>
      </c>
      <c r="E420" s="110" t="str">
        <f>InpAct!E$227</f>
        <v>Average of RCV post 2020 additions - WR - nominal</v>
      </c>
      <c r="F420" s="127">
        <f>InpAct!F$227</f>
        <v>0</v>
      </c>
      <c r="G420" s="127" t="str">
        <f>InpAct!G$227</f>
        <v>£m</v>
      </c>
      <c r="H420" s="112">
        <f>InpAct!H$227</f>
        <v>195.03316344298315</v>
      </c>
      <c r="I420" s="45"/>
      <c r="J420" s="573"/>
      <c r="K420" s="157"/>
    </row>
    <row r="421" spans="1:11" s="57" customFormat="1" ht="14.4" outlineLevel="1">
      <c r="A421" s="54"/>
      <c r="D421" s="110" t="str">
        <f>InpAct!D$236</f>
        <v>PR19</v>
      </c>
      <c r="E421" s="42" t="str">
        <f>InpAct!E$236</f>
        <v>Average of RCV - CPI(H) bf - WN - nominal</v>
      </c>
      <c r="F421" s="127">
        <f>InpAct!F$236</f>
        <v>0</v>
      </c>
      <c r="G421" s="127" t="str">
        <f>InpAct!G$236</f>
        <v>£m</v>
      </c>
      <c r="H421" s="112">
        <f>InpAct!H$236</f>
        <v>2753.9461978357131</v>
      </c>
      <c r="I421" s="45"/>
      <c r="J421" s="573"/>
      <c r="K421" s="94"/>
    </row>
    <row r="422" spans="1:11" s="57" customFormat="1" ht="14.4" outlineLevel="1">
      <c r="A422" s="54"/>
      <c r="D422" s="110" t="str">
        <f>InpAct!D$248</f>
        <v>PR19</v>
      </c>
      <c r="E422" s="42" t="str">
        <f>InpAct!E$248</f>
        <v>Average of RCV - CPI(H) other adjustments balance - WN - nominal</v>
      </c>
      <c r="F422" s="127">
        <f>InpAct!F$248</f>
        <v>0</v>
      </c>
      <c r="G422" s="127" t="str">
        <f>InpAct!G$248</f>
        <v>£m</v>
      </c>
      <c r="H422" s="112">
        <f>InpAct!H$248</f>
        <v>0</v>
      </c>
      <c r="I422" s="45"/>
      <c r="J422" s="573"/>
      <c r="K422" s="94"/>
    </row>
    <row r="423" spans="1:11" s="42" customFormat="1" ht="14.4" outlineLevel="1">
      <c r="A423" s="48"/>
      <c r="D423" s="110" t="str">
        <f>InpAct!D$240</f>
        <v>PR19</v>
      </c>
      <c r="E423" s="42" t="str">
        <f>InpAct!E$240</f>
        <v>Average of RCV - CPI(H) + RPI wedge bf - WN - nominal</v>
      </c>
      <c r="F423" s="127">
        <f>InpAct!F$240</f>
        <v>0</v>
      </c>
      <c r="G423" s="127" t="str">
        <f>InpAct!G$240</f>
        <v>£m</v>
      </c>
      <c r="H423" s="112">
        <f>InpAct!H$240</f>
        <v>2959.4150944965868</v>
      </c>
      <c r="I423" s="45"/>
      <c r="J423" s="573"/>
      <c r="K423" s="89"/>
    </row>
    <row r="424" spans="1:11" s="120" customFormat="1" ht="14.4" outlineLevel="1">
      <c r="A424" s="11"/>
      <c r="D424" s="692" t="str">
        <f>InpAct!D$244</f>
        <v>PR19</v>
      </c>
      <c r="E424" s="112" t="str">
        <f>InpAct!E$244</f>
        <v>Average of RCV post 2020 additions - WN - nominal</v>
      </c>
      <c r="F424" s="112">
        <f>InpAct!F$244</f>
        <v>0</v>
      </c>
      <c r="G424" s="183" t="str">
        <f>InpAct!G$244</f>
        <v>£m</v>
      </c>
      <c r="H424" s="112">
        <f>InpAct!H$244</f>
        <v>2596.9859789605562</v>
      </c>
      <c r="I424" s="45"/>
      <c r="J424" s="573"/>
      <c r="K424" s="157"/>
    </row>
    <row r="425" spans="1:11" ht="12.75" customHeight="1" outlineLevel="1">
      <c r="A425" s="25"/>
      <c r="B425" s="25"/>
      <c r="C425" s="26"/>
      <c r="D425" s="747" t="str">
        <f>InpC!$F$27</f>
        <v>PR19</v>
      </c>
      <c r="E425" s="715" t="s">
        <v>557</v>
      </c>
      <c r="F425" s="716"/>
      <c r="G425" s="716" t="s">
        <v>2</v>
      </c>
      <c r="H425" s="717">
        <f>SUM(H417:H424) / $F416</f>
        <v>7664.1710840478263</v>
      </c>
      <c r="J425" s="82"/>
      <c r="K425" s="82"/>
    </row>
    <row r="426" spans="1:11" ht="12.75" customHeight="1" outlineLevel="1">
      <c r="A426" s="25"/>
      <c r="B426" s="25"/>
      <c r="C426" s="26"/>
      <c r="D426" s="86"/>
      <c r="E426" s="161"/>
      <c r="F426" s="9"/>
      <c r="G426" s="9"/>
      <c r="H426" s="587"/>
      <c r="J426" s="82"/>
      <c r="K426" s="82"/>
    </row>
    <row r="427" spans="1:11" ht="12.75" customHeight="1" outlineLevel="1">
      <c r="A427" s="25"/>
      <c r="B427" s="25"/>
      <c r="C427" s="26"/>
      <c r="D427" s="618" t="str">
        <f>InpC!D$57</f>
        <v>PR19</v>
      </c>
      <c r="E427" s="618" t="str">
        <f>InpC!E$57</f>
        <v>CPI(H): Fin year average - inflate from base year 2017-18 average</v>
      </c>
      <c r="F427" s="713">
        <f>InpC!F$57</f>
        <v>1.1476732911210807</v>
      </c>
      <c r="G427" s="714" t="str">
        <f>InpC!G$57</f>
        <v>factor</v>
      </c>
      <c r="H427" s="714">
        <f>InpC!H$57</f>
        <v>0</v>
      </c>
      <c r="J427" s="83"/>
      <c r="K427" s="83"/>
    </row>
    <row r="428" spans="1:11" s="57" customFormat="1" ht="14.4" outlineLevel="1">
      <c r="A428" s="54"/>
      <c r="D428" s="110" t="str">
        <f>InpAct!D$221</f>
        <v>PR19</v>
      </c>
      <c r="E428" s="42" t="str">
        <f>InpAct!E$221</f>
        <v>Return on RCV - CPI(H) bf - WR - nominal</v>
      </c>
      <c r="F428" s="127">
        <f>InpAct!F$221</f>
        <v>0</v>
      </c>
      <c r="G428" s="127" t="str">
        <f>InpAct!G$221</f>
        <v>£m</v>
      </c>
      <c r="H428" s="112">
        <f>InpAct!H$221</f>
        <v>4.6812885868516716</v>
      </c>
      <c r="I428" s="45"/>
      <c r="J428" s="42"/>
      <c r="K428" s="94"/>
    </row>
    <row r="429" spans="1:11" ht="12.75" customHeight="1" outlineLevel="1">
      <c r="A429" s="25"/>
      <c r="B429" s="25"/>
      <c r="C429" s="26"/>
      <c r="D429" s="110" t="str">
        <f>InpAct!D$233</f>
        <v>PR19</v>
      </c>
      <c r="E429" s="110" t="str">
        <f>InpAct!E$233</f>
        <v>Return on RCV - CPI(H) other adjustments - WR - nominal</v>
      </c>
      <c r="F429" s="112">
        <f>InpAct!F$233</f>
        <v>0</v>
      </c>
      <c r="G429" s="183">
        <f>InpAct!G$233</f>
        <v>0</v>
      </c>
      <c r="H429" s="112">
        <f>InpAct!H$233</f>
        <v>0</v>
      </c>
      <c r="J429" s="189"/>
      <c r="K429" s="117"/>
    </row>
    <row r="430" spans="1:11" s="57" customFormat="1" ht="14.4" outlineLevel="1">
      <c r="A430" s="54"/>
      <c r="D430" s="110" t="str">
        <f>InpAct!D$225</f>
        <v>PR19</v>
      </c>
      <c r="E430" s="42" t="str">
        <f>InpAct!E$225</f>
        <v>Return on RCV - CPI(H) + RPI wedge bf - WR - nominal</v>
      </c>
      <c r="F430" s="127">
        <f>InpAct!F$225</f>
        <v>0</v>
      </c>
      <c r="G430" s="127" t="str">
        <f>InpAct!G$225</f>
        <v>£m</v>
      </c>
      <c r="H430" s="112">
        <f>InpAct!H$225</f>
        <v>3.4260283152618234</v>
      </c>
      <c r="I430" s="45"/>
      <c r="J430" s="42"/>
      <c r="K430" s="94"/>
    </row>
    <row r="431" spans="1:11" s="57" customFormat="1" ht="14.4" outlineLevel="1">
      <c r="A431" s="54"/>
      <c r="D431" s="110" t="str">
        <f>InpAct!D$229</f>
        <v>PR19</v>
      </c>
      <c r="E431" s="42" t="str">
        <f>InpAct!E$229</f>
        <v>Return on RCV additions - WR - nominal</v>
      </c>
      <c r="F431" s="127">
        <f>InpAct!F$229</f>
        <v>0</v>
      </c>
      <c r="G431" s="127" t="str">
        <f>InpAct!G$229</f>
        <v>£m</v>
      </c>
      <c r="H431" s="112">
        <f>InpAct!H$229</f>
        <v>6.4437379727445325</v>
      </c>
      <c r="I431" s="45"/>
      <c r="J431" s="42"/>
      <c r="K431" s="94"/>
    </row>
    <row r="432" spans="1:11" s="57" customFormat="1" ht="14.4" outlineLevel="1">
      <c r="A432" s="54"/>
      <c r="D432" s="110" t="str">
        <f>InpAct!D$238</f>
        <v>PR19</v>
      </c>
      <c r="E432" s="42" t="str">
        <f>InpAct!E$238</f>
        <v>Return on RCV - CPI(H) bf - WN - nominal</v>
      </c>
      <c r="F432" s="127">
        <f>InpAct!F$238</f>
        <v>0</v>
      </c>
      <c r="G432" s="127" t="str">
        <f>InpAct!G$238</f>
        <v>£m</v>
      </c>
      <c r="H432" s="112">
        <f>InpAct!H$238</f>
        <v>90.9881549200081</v>
      </c>
      <c r="I432" s="45"/>
      <c r="J432" s="42"/>
      <c r="K432" s="94"/>
    </row>
    <row r="433" spans="1:21" s="57" customFormat="1" ht="14.4" outlineLevel="1">
      <c r="A433" s="54"/>
      <c r="D433" s="110" t="str">
        <f>InpAct!D$250</f>
        <v>PR19</v>
      </c>
      <c r="E433" s="42" t="str">
        <f>InpAct!E$250</f>
        <v>Return on RCV - CPI(H) other adjustments - WN - nominal</v>
      </c>
      <c r="F433" s="127">
        <f>InpAct!F$250</f>
        <v>0</v>
      </c>
      <c r="G433" s="127" t="str">
        <f>InpAct!G$250</f>
        <v>£m</v>
      </c>
      <c r="H433" s="112">
        <f>InpAct!H$250</f>
        <v>0</v>
      </c>
      <c r="I433" s="45"/>
      <c r="J433" s="573"/>
      <c r="K433" s="94"/>
    </row>
    <row r="434" spans="1:21" s="57" customFormat="1" ht="14.4" outlineLevel="1">
      <c r="A434" s="54"/>
      <c r="D434" s="110" t="str">
        <f>InpAct!D$242</f>
        <v>PR19</v>
      </c>
      <c r="E434" s="42" t="str">
        <f>InpAct!E$242</f>
        <v>Return on RCV - CPI(H) + RPI wedge bf - WN - nominal</v>
      </c>
      <c r="F434" s="127">
        <f>InpAct!F$242</f>
        <v>0</v>
      </c>
      <c r="G434" s="127" t="str">
        <f>InpAct!G$242</f>
        <v>£m</v>
      </c>
      <c r="H434" s="112">
        <f>InpAct!H$242</f>
        <v>68.095207528341675</v>
      </c>
      <c r="I434" s="45"/>
      <c r="J434" s="42"/>
      <c r="K434" s="94"/>
    </row>
    <row r="435" spans="1:21" s="57" customFormat="1" ht="14.4" outlineLevel="1">
      <c r="A435" s="54"/>
      <c r="D435" s="110" t="str">
        <f>InpAct!D$246</f>
        <v>PR19</v>
      </c>
      <c r="E435" s="42" t="str">
        <f>InpAct!E$246</f>
        <v>Return on RCV additions - WN - nominal</v>
      </c>
      <c r="F435" s="127">
        <f>InpAct!F$246</f>
        <v>0</v>
      </c>
      <c r="G435" s="127" t="str">
        <f>InpAct!G$246</f>
        <v>£m</v>
      </c>
      <c r="H435" s="112">
        <f>InpAct!H$246</f>
        <v>85.802316241491141</v>
      </c>
      <c r="I435" s="45"/>
      <c r="J435" s="42"/>
      <c r="K435" s="94"/>
    </row>
    <row r="436" spans="1:21" ht="12.75" customHeight="1" outlineLevel="1">
      <c r="A436" s="25"/>
      <c r="B436" s="18"/>
      <c r="C436" s="19"/>
      <c r="D436" s="747" t="str">
        <f>InpC!$F$27</f>
        <v>PR19</v>
      </c>
      <c r="E436" s="97" t="s">
        <v>558</v>
      </c>
      <c r="F436" s="130"/>
      <c r="G436" s="130" t="s">
        <v>2</v>
      </c>
      <c r="H436" s="185">
        <f>SUM(H428:H435) / $F427</f>
        <v>226.05451880061929</v>
      </c>
      <c r="J436" s="82"/>
      <c r="K436" s="82"/>
    </row>
    <row r="437" spans="1:21" s="57" customFormat="1" ht="14.4" outlineLevel="1">
      <c r="A437" s="54"/>
      <c r="D437" s="86"/>
      <c r="E437" s="58"/>
      <c r="F437" s="96"/>
      <c r="G437" s="96"/>
      <c r="H437" s="188"/>
      <c r="I437" s="45"/>
      <c r="J437" s="94"/>
      <c r="K437" s="94"/>
    </row>
    <row r="438" spans="1:21" customFormat="1" ht="14.4" outlineLevel="1">
      <c r="A438" s="106"/>
      <c r="B438" s="270" t="s">
        <v>127</v>
      </c>
      <c r="C438" s="164"/>
      <c r="D438" s="165"/>
      <c r="F438" s="274"/>
      <c r="G438" s="274"/>
      <c r="H438" s="271"/>
      <c r="I438" s="45"/>
      <c r="J438" s="271"/>
      <c r="K438" s="271"/>
      <c r="L438" s="271"/>
      <c r="M438" s="271"/>
      <c r="N438" s="271"/>
      <c r="O438" s="271"/>
      <c r="P438" s="271"/>
      <c r="Q438" s="271"/>
      <c r="R438" s="271"/>
      <c r="S438" s="271"/>
      <c r="T438" s="271"/>
      <c r="U438" s="271"/>
    </row>
    <row r="439" spans="1:21" s="120" customFormat="1" ht="12.75" customHeight="1" outlineLevel="1">
      <c r="A439" s="25"/>
      <c r="B439" s="25"/>
      <c r="C439" s="26"/>
      <c r="D439" s="171" t="str">
        <f>D$412</f>
        <v>PR14</v>
      </c>
      <c r="E439" s="171" t="str">
        <f t="shared" ref="E439:H439" si="96">E$412</f>
        <v>Total Return on RCV - 201718 year average CPIH deflated - Water</v>
      </c>
      <c r="F439" s="280">
        <f t="shared" si="96"/>
        <v>0</v>
      </c>
      <c r="G439" s="280" t="str">
        <f t="shared" si="96"/>
        <v>£m</v>
      </c>
      <c r="H439" s="276">
        <f t="shared" si="96"/>
        <v>212.45526573219183</v>
      </c>
      <c r="I439" s="45"/>
      <c r="J439" s="277"/>
      <c r="K439" s="277"/>
    </row>
    <row r="440" spans="1:21" ht="12.75" customHeight="1" outlineLevel="1">
      <c r="A440" s="25"/>
      <c r="B440" s="18"/>
      <c r="C440" s="19"/>
      <c r="D440" s="87" t="str">
        <f>D$436</f>
        <v>PR19</v>
      </c>
      <c r="E440" s="87" t="str">
        <f t="shared" ref="E440:H440" si="97">E$436</f>
        <v xml:space="preserve">Return on RCV - 2017/18 year average CPIH deflated - Water </v>
      </c>
      <c r="F440" s="21">
        <f t="shared" si="97"/>
        <v>0</v>
      </c>
      <c r="G440" s="21" t="str">
        <f t="shared" si="97"/>
        <v>£m</v>
      </c>
      <c r="H440" s="59">
        <f t="shared" si="97"/>
        <v>226.05451880061929</v>
      </c>
      <c r="J440" s="82"/>
      <c r="K440" s="82"/>
    </row>
    <row r="441" spans="1:21" s="79" customFormat="1" ht="12.75" customHeight="1" outlineLevel="1">
      <c r="D441" s="91"/>
      <c r="E441" s="91" t="s">
        <v>73</v>
      </c>
      <c r="F441" s="128"/>
      <c r="G441" s="128" t="s">
        <v>2</v>
      </c>
      <c r="H441" s="184">
        <f>H440 - H439</f>
        <v>13.599253068427458</v>
      </c>
      <c r="I441" s="45"/>
      <c r="J441" s="82"/>
      <c r="K441" s="82"/>
      <c r="L441" s="78"/>
      <c r="M441" s="78"/>
      <c r="N441" s="78"/>
      <c r="O441" s="78"/>
      <c r="P441" s="78"/>
      <c r="Q441" s="78"/>
      <c r="R441" s="78"/>
      <c r="S441" s="78"/>
      <c r="T441" s="78"/>
      <c r="U441" s="78"/>
    </row>
    <row r="442" spans="1:21" ht="12.75" customHeight="1" outlineLevel="1">
      <c r="A442" s="45"/>
      <c r="B442" s="45"/>
      <c r="C442" s="45"/>
      <c r="D442" s="87"/>
      <c r="E442" s="45"/>
      <c r="F442" s="125"/>
      <c r="G442" s="125"/>
      <c r="H442" s="125"/>
      <c r="J442" s="82"/>
      <c r="K442" s="82"/>
    </row>
    <row r="443" spans="1:21" customFormat="1" ht="14.4" outlineLevel="1">
      <c r="A443" s="106"/>
      <c r="B443" s="270" t="s">
        <v>406</v>
      </c>
      <c r="C443" s="12"/>
      <c r="D443" s="86"/>
      <c r="F443" s="274"/>
      <c r="G443" s="274"/>
      <c r="H443" s="271"/>
      <c r="I443" s="45"/>
      <c r="J443" s="82"/>
      <c r="K443" s="271"/>
      <c r="L443" s="271"/>
      <c r="M443" s="271"/>
      <c r="N443" s="271"/>
      <c r="O443" s="271"/>
      <c r="P443" s="271"/>
      <c r="Q443" s="271"/>
      <c r="R443" s="271"/>
      <c r="S443" s="271"/>
      <c r="T443" s="271"/>
      <c r="U443" s="271"/>
    </row>
    <row r="444" spans="1:21" ht="12.75" customHeight="1" outlineLevel="1">
      <c r="A444" s="25"/>
      <c r="B444" s="18"/>
      <c r="C444" s="19"/>
      <c r="D444" s="91" t="str">
        <f>D$425</f>
        <v>PR19</v>
      </c>
      <c r="E444" s="91" t="str">
        <f t="shared" ref="E444:H444" si="98">E$425</f>
        <v>Total RCV - 2017/18 year average CPIH deflated - Water</v>
      </c>
      <c r="F444" s="280">
        <f t="shared" si="98"/>
        <v>0</v>
      </c>
      <c r="G444" s="280" t="str">
        <f t="shared" si="98"/>
        <v>£m</v>
      </c>
      <c r="H444" s="276">
        <f t="shared" si="98"/>
        <v>7664.1710840478263</v>
      </c>
      <c r="J444" s="82"/>
      <c r="K444" s="82"/>
    </row>
    <row r="445" spans="1:21" ht="12.75" customHeight="1" outlineLevel="1">
      <c r="A445" s="25"/>
      <c r="B445" s="18"/>
      <c r="C445" s="19"/>
      <c r="D445" s="91" t="str">
        <f>D$436</f>
        <v>PR19</v>
      </c>
      <c r="E445" s="91" t="str">
        <f t="shared" ref="E445:H445" si="99">E$436</f>
        <v xml:space="preserve">Return on RCV - 2017/18 year average CPIH deflated - Water </v>
      </c>
      <c r="F445" s="21">
        <f t="shared" si="99"/>
        <v>0</v>
      </c>
      <c r="G445" s="21" t="str">
        <f t="shared" si="99"/>
        <v>£m</v>
      </c>
      <c r="H445" s="59">
        <f t="shared" si="99"/>
        <v>226.05451880061929</v>
      </c>
      <c r="J445" s="82"/>
      <c r="K445" s="82"/>
    </row>
    <row r="446" spans="1:21" ht="12.75" customHeight="1" outlineLevel="1">
      <c r="A446" s="25"/>
      <c r="B446" s="18"/>
      <c r="C446" s="19"/>
      <c r="D446" s="110" t="str">
        <f>InpC!$F$27</f>
        <v>PR19</v>
      </c>
      <c r="E446" s="91" t="s">
        <v>74</v>
      </c>
      <c r="F446" s="128"/>
      <c r="G446" s="128" t="s">
        <v>3</v>
      </c>
      <c r="H446" s="186">
        <f xml:space="preserve"> IFERROR( H445 / H444, 0)</f>
        <v>2.9494972949015742E-2</v>
      </c>
      <c r="J446" s="82"/>
      <c r="K446" s="82"/>
    </row>
    <row r="447" spans="1:21" ht="12.75" customHeight="1" outlineLevel="1">
      <c r="A447" s="25"/>
      <c r="B447" s="18"/>
      <c r="C447" s="19"/>
      <c r="D447" s="91"/>
      <c r="E447" s="91"/>
      <c r="F447" s="128"/>
      <c r="G447" s="128"/>
      <c r="H447" s="184"/>
      <c r="J447" s="82"/>
      <c r="K447" s="82"/>
    </row>
    <row r="448" spans="1:21" ht="12.75" customHeight="1" outlineLevel="1">
      <c r="A448" s="45"/>
      <c r="B448" s="45"/>
      <c r="C448" s="45"/>
      <c r="D448" s="278" t="str">
        <f>D$404</f>
        <v>PR14</v>
      </c>
      <c r="E448" s="278" t="str">
        <f t="shared" ref="E448:H448" si="100">E$404</f>
        <v>Total RCV - 201718 year average CPIH deflated - Water</v>
      </c>
      <c r="F448" s="279">
        <f t="shared" si="100"/>
        <v>0</v>
      </c>
      <c r="G448" s="279" t="str">
        <f t="shared" si="100"/>
        <v>£m</v>
      </c>
      <c r="H448" s="225">
        <f t="shared" si="100"/>
        <v>5901.535159227551</v>
      </c>
      <c r="J448" s="196"/>
      <c r="K448" s="196"/>
    </row>
    <row r="449" spans="1:21" ht="12.75" customHeight="1" outlineLevel="1">
      <c r="A449" s="45"/>
      <c r="B449" s="45"/>
      <c r="C449" s="45"/>
      <c r="D449" s="87" t="str">
        <f>D$446</f>
        <v>PR19</v>
      </c>
      <c r="E449" s="87" t="str">
        <f t="shared" ref="E449:H449" si="101">E$446</f>
        <v>PR19 Weighted average WACC - Water</v>
      </c>
      <c r="F449" s="88">
        <f t="shared" si="101"/>
        <v>0</v>
      </c>
      <c r="G449" s="21" t="str">
        <f t="shared" si="101"/>
        <v>%</v>
      </c>
      <c r="H449" s="88">
        <f t="shared" si="101"/>
        <v>2.9494972949015742E-2</v>
      </c>
      <c r="J449" s="82"/>
      <c r="K449" s="82"/>
    </row>
    <row r="450" spans="1:21" s="79" customFormat="1" ht="12.75" customHeight="1" outlineLevel="1">
      <c r="D450" s="92"/>
      <c r="E450" s="92" t="s">
        <v>75</v>
      </c>
      <c r="F450" s="131"/>
      <c r="G450" s="131" t="s">
        <v>2</v>
      </c>
      <c r="H450" s="187">
        <f xml:space="preserve"> H449 * H448</f>
        <v>174.06561987908194</v>
      </c>
      <c r="I450" s="45"/>
      <c r="J450" s="82"/>
      <c r="K450" s="82"/>
      <c r="L450" s="78"/>
      <c r="M450" s="78"/>
      <c r="N450" s="78"/>
      <c r="O450" s="78"/>
      <c r="P450" s="78"/>
      <c r="Q450" s="78"/>
      <c r="R450" s="78"/>
      <c r="S450" s="78"/>
      <c r="T450" s="78"/>
      <c r="U450" s="78"/>
    </row>
    <row r="451" spans="1:21" s="79" customFormat="1" ht="12.75" customHeight="1" outlineLevel="1">
      <c r="D451" s="749"/>
      <c r="E451" s="92"/>
      <c r="F451" s="131"/>
      <c r="G451" s="131"/>
      <c r="H451" s="187"/>
      <c r="I451" s="45"/>
      <c r="J451" s="82"/>
      <c r="K451" s="82"/>
      <c r="L451" s="78"/>
      <c r="M451" s="78"/>
      <c r="N451" s="78"/>
      <c r="O451" s="78"/>
      <c r="P451" s="78"/>
      <c r="Q451" s="78"/>
      <c r="R451" s="78"/>
      <c r="S451" s="78"/>
      <c r="T451" s="78"/>
      <c r="U451" s="78"/>
    </row>
    <row r="452" spans="1:21" customFormat="1" ht="14.4" outlineLevel="1">
      <c r="A452" s="106"/>
      <c r="B452" s="270" t="s">
        <v>267</v>
      </c>
      <c r="C452" s="164"/>
      <c r="D452" s="165"/>
      <c r="F452" s="274"/>
      <c r="G452" s="274"/>
      <c r="H452" s="271"/>
      <c r="I452" s="45"/>
      <c r="J452" s="271"/>
      <c r="K452" s="271"/>
      <c r="L452" s="271"/>
      <c r="M452" s="271"/>
      <c r="N452" s="271"/>
      <c r="O452" s="271"/>
      <c r="P452" s="271"/>
      <c r="Q452" s="271"/>
      <c r="R452" s="271"/>
      <c r="S452" s="271"/>
      <c r="T452" s="271"/>
      <c r="U452" s="271"/>
    </row>
    <row r="453" spans="1:21" s="120" customFormat="1" ht="12.75" customHeight="1" outlineLevel="1">
      <c r="A453" s="25"/>
      <c r="B453" s="25"/>
      <c r="C453" s="26"/>
      <c r="D453" s="171" t="str">
        <f>D$412</f>
        <v>PR14</v>
      </c>
      <c r="E453" s="171" t="str">
        <f t="shared" ref="E453:H453" si="102">E$412</f>
        <v>Total Return on RCV - 201718 year average CPIH deflated - Water</v>
      </c>
      <c r="F453" s="280">
        <f t="shared" si="102"/>
        <v>0</v>
      </c>
      <c r="G453" s="280" t="str">
        <f t="shared" si="102"/>
        <v>£m</v>
      </c>
      <c r="H453" s="276">
        <f t="shared" si="102"/>
        <v>212.45526573219183</v>
      </c>
      <c r="I453" s="45"/>
      <c r="J453" s="277"/>
      <c r="K453" s="277"/>
    </row>
    <row r="454" spans="1:21" ht="12.75" customHeight="1" outlineLevel="1">
      <c r="A454" s="77"/>
      <c r="B454" s="18"/>
      <c r="C454" s="19"/>
      <c r="D454" s="87"/>
      <c r="E454" s="87" t="str">
        <f>E$450</f>
        <v>PR14 Return on RCV with PR19 WACC - Water</v>
      </c>
      <c r="F454" s="280">
        <f t="shared" ref="F454:H454" si="103">F$450</f>
        <v>0</v>
      </c>
      <c r="G454" s="280" t="str">
        <f t="shared" si="103"/>
        <v>£m</v>
      </c>
      <c r="H454" s="276">
        <f t="shared" si="103"/>
        <v>174.06561987908194</v>
      </c>
      <c r="J454" s="82"/>
      <c r="K454" s="82"/>
    </row>
    <row r="455" spans="1:21" ht="12.75" customHeight="1" outlineLevel="1">
      <c r="A455" s="25"/>
      <c r="B455" s="45"/>
      <c r="C455" s="45"/>
      <c r="D455" s="139"/>
      <c r="E455" s="58" t="s">
        <v>76</v>
      </c>
      <c r="F455" s="96"/>
      <c r="G455" s="96" t="s">
        <v>2</v>
      </c>
      <c r="H455" s="188">
        <f>H454 - H453</f>
        <v>-38.389645853109897</v>
      </c>
      <c r="J455" s="94"/>
      <c r="K455" s="82"/>
    </row>
    <row r="456" spans="1:21" ht="12.75" customHeight="1" outlineLevel="1">
      <c r="A456" s="25"/>
      <c r="B456" s="45"/>
      <c r="C456" s="45"/>
      <c r="D456" s="749"/>
      <c r="E456" s="58"/>
      <c r="F456" s="96"/>
      <c r="G456" s="96"/>
      <c r="H456" s="188"/>
      <c r="J456" s="82"/>
      <c r="K456" s="82"/>
    </row>
    <row r="457" spans="1:21" customFormat="1" ht="14.4" outlineLevel="1">
      <c r="A457" s="106"/>
      <c r="B457" s="270" t="s">
        <v>405</v>
      </c>
      <c r="C457" s="164"/>
      <c r="D457" s="165"/>
      <c r="F457" s="274"/>
      <c r="G457" s="274"/>
      <c r="H457" s="271"/>
      <c r="I457" s="45"/>
      <c r="J457" s="271"/>
      <c r="K457" s="271"/>
      <c r="L457" s="271"/>
      <c r="M457" s="271"/>
      <c r="N457" s="271"/>
      <c r="O457" s="271"/>
      <c r="P457" s="271"/>
      <c r="Q457" s="271"/>
      <c r="R457" s="271"/>
      <c r="S457" s="271"/>
      <c r="T457" s="271"/>
      <c r="U457" s="271"/>
    </row>
    <row r="458" spans="1:21" ht="12.75" customHeight="1" outlineLevel="1">
      <c r="A458" s="25"/>
      <c r="B458" s="45"/>
      <c r="C458" s="45"/>
      <c r="D458" s="86"/>
      <c r="E458" s="58" t="str">
        <f>E$441</f>
        <v>Change in Return on RCV - Water</v>
      </c>
      <c r="F458" s="280">
        <f t="shared" ref="F458:H458" si="104">F$441</f>
        <v>0</v>
      </c>
      <c r="G458" s="280" t="str">
        <f t="shared" si="104"/>
        <v>£m</v>
      </c>
      <c r="H458" s="276">
        <f t="shared" si="104"/>
        <v>13.599253068427458</v>
      </c>
      <c r="J458" s="82"/>
      <c r="K458" s="82"/>
    </row>
    <row r="459" spans="1:21" ht="12.75" customHeight="1" outlineLevel="1">
      <c r="A459" s="77"/>
      <c r="B459" s="45"/>
      <c r="C459" s="45"/>
      <c r="D459" s="86"/>
      <c r="E459" s="58" t="str">
        <f>E$455</f>
        <v>Change in Return on RCV due to change in WACC - Water</v>
      </c>
      <c r="F459" s="280">
        <f t="shared" ref="F459:H459" si="105">F$455</f>
        <v>0</v>
      </c>
      <c r="G459" s="280" t="str">
        <f t="shared" si="105"/>
        <v>£m</v>
      </c>
      <c r="H459" s="276">
        <f t="shared" si="105"/>
        <v>-38.389645853109897</v>
      </c>
      <c r="J459" s="82"/>
      <c r="K459" s="82"/>
    </row>
    <row r="460" spans="1:21" s="57" customFormat="1" ht="14.4" outlineLevel="1">
      <c r="A460" s="54"/>
      <c r="D460" s="139"/>
      <c r="E460" s="58" t="s">
        <v>77</v>
      </c>
      <c r="F460" s="96"/>
      <c r="G460" s="96" t="s">
        <v>2</v>
      </c>
      <c r="H460" s="188">
        <f>H458 - H459</f>
        <v>51.988898921537356</v>
      </c>
      <c r="I460" s="45"/>
      <c r="J460" s="94"/>
      <c r="K460" s="94"/>
    </row>
    <row r="461" spans="1:21" s="57" customFormat="1" ht="14.4">
      <c r="A461" s="54"/>
      <c r="D461" s="139"/>
      <c r="E461" s="58"/>
      <c r="F461" s="96"/>
      <c r="G461" s="96"/>
      <c r="H461" s="188"/>
      <c r="I461" s="45"/>
      <c r="J461" s="94"/>
      <c r="K461" s="94"/>
    </row>
    <row r="462" spans="1:21" customFormat="1" ht="14.4">
      <c r="A462" s="106"/>
      <c r="B462" s="270" t="s">
        <v>124</v>
      </c>
      <c r="C462" s="164"/>
      <c r="D462" s="165"/>
      <c r="F462" s="274"/>
      <c r="G462" s="274"/>
      <c r="H462" s="271"/>
      <c r="I462" s="45"/>
      <c r="J462" s="271"/>
      <c r="K462" s="271"/>
      <c r="L462" s="271"/>
      <c r="M462" s="271"/>
      <c r="N462" s="271"/>
      <c r="O462" s="271"/>
      <c r="P462" s="271"/>
      <c r="Q462" s="271"/>
      <c r="R462" s="271"/>
      <c r="S462" s="271"/>
      <c r="T462" s="271"/>
      <c r="U462" s="271"/>
    </row>
    <row r="463" spans="1:21">
      <c r="B463" s="11" t="s">
        <v>7</v>
      </c>
    </row>
    <row r="464" spans="1:21" customFormat="1" ht="12.75" customHeight="1" outlineLevel="1">
      <c r="A464" s="163"/>
      <c r="B464" s="106"/>
      <c r="C464" s="107"/>
      <c r="D464" s="165"/>
      <c r="E464" s="109"/>
      <c r="F464" s="108"/>
      <c r="G464" s="108"/>
      <c r="H464" s="109"/>
      <c r="I464" s="45"/>
      <c r="J464" s="109"/>
      <c r="K464" s="109"/>
      <c r="L464" s="109"/>
      <c r="M464" s="109"/>
      <c r="N464" s="109"/>
      <c r="O464" s="109"/>
      <c r="P464" s="109"/>
      <c r="Q464" s="109"/>
      <c r="R464" s="109"/>
      <c r="S464" s="109"/>
      <c r="T464" s="109"/>
      <c r="U464" s="109"/>
    </row>
    <row r="465" spans="1:21" customFormat="1" ht="12.75" customHeight="1" outlineLevel="1">
      <c r="A465" s="163"/>
      <c r="B465" s="106"/>
      <c r="C465" s="107" t="str">
        <f>InpC!$F$26</f>
        <v>PR14</v>
      </c>
      <c r="D465" s="165"/>
      <c r="E465" s="109"/>
      <c r="F465" s="108"/>
      <c r="G465" s="108"/>
      <c r="H465" s="109"/>
      <c r="I465" s="45"/>
      <c r="J465" s="109"/>
      <c r="K465" s="109"/>
      <c r="L465" s="109"/>
      <c r="M465" s="109"/>
      <c r="N465" s="109"/>
      <c r="O465" s="109"/>
      <c r="P465" s="109"/>
      <c r="Q465" s="109"/>
      <c r="R465" s="109"/>
      <c r="S465" s="109"/>
      <c r="T465" s="109"/>
      <c r="U465" s="109"/>
    </row>
    <row r="466" spans="1:21" s="42" customFormat="1" ht="12.75" customHeight="1" outlineLevel="1">
      <c r="A466" s="51"/>
      <c r="B466" s="61"/>
      <c r="C466" s="62"/>
      <c r="D466" s="110" t="str">
        <f>InpAct!D$212</f>
        <v>PR14</v>
      </c>
      <c r="E466" s="42" t="str">
        <f>InpAct!E$212</f>
        <v>Average 2015 RCV - real - Wastewater</v>
      </c>
      <c r="F466" s="127">
        <f>InpAct!F$212</f>
        <v>0</v>
      </c>
      <c r="G466" s="127" t="str">
        <f>InpAct!G$212</f>
        <v>£m</v>
      </c>
      <c r="H466" s="112">
        <f>InpAct!H$212</f>
        <v>4332.2073569947297</v>
      </c>
      <c r="I466" s="45"/>
      <c r="J466" s="46"/>
      <c r="K466" s="46"/>
      <c r="L466" s="46"/>
    </row>
    <row r="467" spans="1:21" s="31" customFormat="1" ht="12.75" customHeight="1" outlineLevel="1">
      <c r="A467" s="104"/>
      <c r="B467" s="104"/>
      <c r="C467" s="105"/>
      <c r="D467" s="110" t="str">
        <f>InpAct!D$215</f>
        <v>PR14</v>
      </c>
      <c r="E467" s="42" t="str">
        <f>InpAct!E$215</f>
        <v>Average RCV; post 2015 additions - real - Wastewater</v>
      </c>
      <c r="F467" s="42">
        <f>InpAct!F$215</f>
        <v>0</v>
      </c>
      <c r="G467" s="127" t="str">
        <f>InpAct!G$215</f>
        <v>£m</v>
      </c>
      <c r="H467" s="112">
        <f>InpAct!H$215</f>
        <v>1554.5436782268744</v>
      </c>
      <c r="I467" s="45"/>
      <c r="J467" s="117"/>
    </row>
    <row r="468" spans="1:21" s="6" customFormat="1" ht="12.75" customHeight="1" outlineLevel="1">
      <c r="A468" s="11"/>
      <c r="B468" s="11"/>
      <c r="C468" s="12"/>
      <c r="D468" s="744" t="str">
        <f>InpC!$F$26</f>
        <v>PR14</v>
      </c>
      <c r="E468" s="190" t="s">
        <v>366</v>
      </c>
      <c r="F468" s="202"/>
      <c r="G468" s="202" t="s">
        <v>2</v>
      </c>
      <c r="H468" s="200">
        <f>SUM(H466:H467)</f>
        <v>5886.7510352216041</v>
      </c>
      <c r="I468" s="45"/>
      <c r="J468" s="29"/>
      <c r="K468" s="29"/>
      <c r="L468" s="29"/>
      <c r="M468" s="29"/>
    </row>
    <row r="469" spans="1:21" ht="12.75" customHeight="1" outlineLevel="1">
      <c r="A469" s="25"/>
      <c r="B469" s="18"/>
      <c r="C469" s="19"/>
      <c r="D469" s="86"/>
      <c r="E469" s="86"/>
      <c r="F469" s="126"/>
      <c r="G469" s="125"/>
      <c r="H469" s="182"/>
      <c r="J469" s="117"/>
      <c r="K469" s="83"/>
    </row>
    <row r="470" spans="1:21" s="42" customFormat="1" ht="12.75" customHeight="1" outlineLevel="1">
      <c r="A470" s="51"/>
      <c r="B470" s="51"/>
      <c r="C470" s="147"/>
      <c r="D470" s="694" t="str">
        <f>InpC!D$55</f>
        <v>PR14</v>
      </c>
      <c r="E470" s="31" t="str">
        <f>InpC!E$55</f>
        <v>Adjustment from 2012/13 year average RPI to 2017/18 year average CPIH deflated</v>
      </c>
      <c r="F470" s="726">
        <f>InpC!F$55</f>
        <v>1.1497410673850219</v>
      </c>
      <c r="G470" s="227" t="str">
        <f>InpC!G$55</f>
        <v>factor</v>
      </c>
      <c r="H470" s="227">
        <f>InpC!H$55</f>
        <v>0</v>
      </c>
      <c r="I470" s="45"/>
      <c r="J470" s="148"/>
      <c r="K470" s="148"/>
    </row>
    <row r="471" spans="1:21" ht="12.75" customHeight="1" outlineLevel="1">
      <c r="A471" s="25"/>
      <c r="B471" s="25"/>
      <c r="C471" s="26"/>
      <c r="D471" s="86" t="str">
        <f>D468</f>
        <v>PR14</v>
      </c>
      <c r="E471" s="86" t="str">
        <f>E468</f>
        <v>Total RCV - real - Wastewater</v>
      </c>
      <c r="F471" s="125">
        <f>F468</f>
        <v>0</v>
      </c>
      <c r="G471" s="125" t="str">
        <f>G468</f>
        <v>£m</v>
      </c>
      <c r="H471" s="85">
        <f>H468</f>
        <v>5886.7510352216041</v>
      </c>
      <c r="J471" s="86"/>
      <c r="K471" s="117"/>
    </row>
    <row r="472" spans="1:21" ht="12.75" customHeight="1" outlineLevel="1">
      <c r="A472" s="25"/>
      <c r="B472" s="25"/>
      <c r="C472" s="26"/>
      <c r="D472" s="730" t="str">
        <f>InpC!$F$26</f>
        <v>PR14</v>
      </c>
      <c r="E472" s="86" t="s">
        <v>559</v>
      </c>
      <c r="F472" s="126"/>
      <c r="G472" s="125" t="s">
        <v>2</v>
      </c>
      <c r="H472" s="182">
        <f xml:space="preserve"> H471 * $F470</f>
        <v>6768.2394186655702</v>
      </c>
      <c r="J472" s="196"/>
      <c r="K472" s="117"/>
    </row>
    <row r="473" spans="1:21" ht="12.75" customHeight="1" outlineLevel="1">
      <c r="A473" s="25"/>
      <c r="B473" s="25"/>
      <c r="C473" s="26"/>
      <c r="D473" s="86"/>
      <c r="E473" s="86"/>
      <c r="F473" s="125"/>
      <c r="G473" s="125"/>
      <c r="H473" s="182"/>
      <c r="J473" s="117"/>
      <c r="K473" s="117"/>
    </row>
    <row r="474" spans="1:21" s="31" customFormat="1" ht="12.75" customHeight="1" outlineLevel="1">
      <c r="A474" s="104"/>
      <c r="B474" s="104"/>
      <c r="C474" s="105"/>
      <c r="D474" s="110" t="str">
        <f>InpAct!D$213</f>
        <v>PR14</v>
      </c>
      <c r="E474" s="110" t="str">
        <f>InpAct!E$213</f>
        <v>Return on 2015 RCV Bf - real - Wastewater</v>
      </c>
      <c r="F474" s="127">
        <f>InpAct!F$213</f>
        <v>0</v>
      </c>
      <c r="G474" s="127" t="str">
        <f>InpAct!G$213</f>
        <v>£m</v>
      </c>
      <c r="H474" s="112">
        <f>InpAct!H$213</f>
        <v>155.95946485181025</v>
      </c>
      <c r="I474" s="45"/>
      <c r="J474" s="117"/>
    </row>
    <row r="475" spans="1:21" s="31" customFormat="1" ht="12.75" customHeight="1" outlineLevel="1">
      <c r="A475" s="104"/>
      <c r="B475" s="104"/>
      <c r="C475" s="105"/>
      <c r="D475" s="110" t="str">
        <f>InpAct!D$216</f>
        <v>PR14</v>
      </c>
      <c r="E475" s="42" t="str">
        <f>InpAct!E$216</f>
        <v>Return on RCV Additions - real - Wastewater</v>
      </c>
      <c r="F475" s="42">
        <f>InpAct!F$216</f>
        <v>0</v>
      </c>
      <c r="G475" s="127" t="str">
        <f>InpAct!G$216</f>
        <v>£m</v>
      </c>
      <c r="H475" s="112">
        <f>InpAct!H$216</f>
        <v>55.963572416167473</v>
      </c>
      <c r="I475" s="45"/>
      <c r="J475" s="117"/>
    </row>
    <row r="476" spans="1:21" s="28" customFormat="1" ht="12.75" customHeight="1" outlineLevel="1">
      <c r="A476" s="22"/>
      <c r="B476" s="22"/>
      <c r="C476" s="226"/>
      <c r="D476" s="744" t="str">
        <f>InpC!$F$26</f>
        <v>PR14</v>
      </c>
      <c r="E476" s="190" t="s">
        <v>367</v>
      </c>
      <c r="F476" s="202"/>
      <c r="G476" s="202" t="s">
        <v>2</v>
      </c>
      <c r="H476" s="200">
        <f>SUM(H474:H475)</f>
        <v>211.92303726797772</v>
      </c>
      <c r="I476" s="45"/>
      <c r="J476" s="31"/>
      <c r="K476" s="31"/>
      <c r="L476" s="31"/>
      <c r="M476" s="31"/>
    </row>
    <row r="477" spans="1:21" ht="12.75" customHeight="1" outlineLevel="1">
      <c r="A477" s="25"/>
      <c r="B477" s="25"/>
      <c r="C477" s="26"/>
      <c r="D477" s="86"/>
      <c r="E477" s="86"/>
      <c r="F477" s="126"/>
      <c r="G477" s="125"/>
      <c r="H477" s="182"/>
      <c r="J477" s="117"/>
      <c r="K477" s="117"/>
    </row>
    <row r="478" spans="1:21" s="42" customFormat="1" ht="12.75" customHeight="1" outlineLevel="1">
      <c r="A478" s="51"/>
      <c r="B478" s="51"/>
      <c r="C478" s="147"/>
      <c r="D478" s="694" t="str">
        <f>InpC!D$55</f>
        <v>PR14</v>
      </c>
      <c r="E478" s="31" t="str">
        <f>InpC!E$55</f>
        <v>Adjustment from 2012/13 year average RPI to 2017/18 year average CPIH deflated</v>
      </c>
      <c r="F478" s="726">
        <f>InpC!F$55</f>
        <v>1.1497410673850219</v>
      </c>
      <c r="G478" s="227" t="str">
        <f>InpC!G$55</f>
        <v>factor</v>
      </c>
      <c r="H478" s="227">
        <f>InpC!H$55</f>
        <v>0</v>
      </c>
      <c r="I478" s="45"/>
      <c r="J478" s="148"/>
      <c r="K478" s="148"/>
    </row>
    <row r="479" spans="1:21" ht="12.75" customHeight="1" outlineLevel="1">
      <c r="A479" s="25"/>
      <c r="B479" s="18"/>
      <c r="C479" s="19"/>
      <c r="D479" s="86" t="str">
        <f>D$476</f>
        <v>PR14</v>
      </c>
      <c r="E479" s="86" t="str">
        <f t="shared" ref="E479:H479" si="106">E$476</f>
        <v>Total return on RCV - real - Wastewater</v>
      </c>
      <c r="F479" s="125">
        <f t="shared" si="106"/>
        <v>0</v>
      </c>
      <c r="G479" s="125" t="str">
        <f t="shared" si="106"/>
        <v>£m</v>
      </c>
      <c r="H479" s="85">
        <f t="shared" si="106"/>
        <v>211.92303726797772</v>
      </c>
      <c r="J479" s="86"/>
      <c r="K479" s="83"/>
    </row>
    <row r="480" spans="1:21" ht="12.75" customHeight="1" outlineLevel="1">
      <c r="A480" s="25"/>
      <c r="B480" s="18"/>
      <c r="C480" s="19"/>
      <c r="D480" s="730" t="str">
        <f>InpC!$F$26</f>
        <v>PR14</v>
      </c>
      <c r="E480" s="86" t="s">
        <v>560</v>
      </c>
      <c r="F480" s="126"/>
      <c r="G480" s="125" t="s">
        <v>2</v>
      </c>
      <c r="H480" s="182">
        <f xml:space="preserve"> H479 * $F478</f>
        <v>243.65661907196048</v>
      </c>
      <c r="J480" s="196"/>
      <c r="K480" s="83"/>
    </row>
    <row r="481" spans="1:21" ht="12.75" customHeight="1" outlineLevel="1">
      <c r="A481" s="25"/>
      <c r="B481" s="25"/>
      <c r="C481" s="26"/>
      <c r="D481" s="86"/>
      <c r="E481" s="86"/>
      <c r="F481" s="126"/>
      <c r="G481" s="125"/>
      <c r="H481" s="182"/>
      <c r="J481" s="117"/>
      <c r="K481" s="83"/>
    </row>
    <row r="482" spans="1:21" customFormat="1" ht="12.75" customHeight="1" outlineLevel="1">
      <c r="A482" s="163"/>
      <c r="B482" s="163"/>
      <c r="C482" s="107" t="str">
        <f>InpC!$F$27</f>
        <v>PR19</v>
      </c>
      <c r="D482" s="397"/>
      <c r="E482" s="212"/>
      <c r="F482" s="399"/>
      <c r="G482" s="399"/>
      <c r="H482" s="212"/>
      <c r="I482" s="45"/>
      <c r="J482" s="111"/>
      <c r="K482" s="109"/>
      <c r="L482" s="109"/>
      <c r="M482" s="109"/>
      <c r="N482" s="109"/>
      <c r="O482" s="109"/>
      <c r="P482" s="109"/>
      <c r="Q482" s="109"/>
      <c r="R482" s="109"/>
      <c r="S482" s="109"/>
      <c r="T482" s="109"/>
      <c r="U482" s="109"/>
    </row>
    <row r="483" spans="1:21" customFormat="1" ht="14.4" outlineLevel="1">
      <c r="A483" s="163"/>
      <c r="B483" s="718" t="s">
        <v>266</v>
      </c>
      <c r="C483" s="107"/>
      <c r="D483" s="397"/>
      <c r="E483" s="271"/>
      <c r="F483" s="719"/>
      <c r="G483" s="719"/>
      <c r="H483" s="271"/>
      <c r="I483" s="45"/>
      <c r="J483" s="271"/>
      <c r="K483" s="271"/>
      <c r="L483" s="271"/>
      <c r="M483" s="271"/>
      <c r="N483" s="271"/>
      <c r="O483" s="271"/>
      <c r="P483" s="271"/>
      <c r="Q483" s="271"/>
      <c r="R483" s="271"/>
      <c r="S483" s="271"/>
      <c r="T483" s="271"/>
      <c r="U483" s="271"/>
    </row>
    <row r="484" spans="1:21" ht="12.75" customHeight="1" outlineLevel="1">
      <c r="A484" s="25"/>
      <c r="B484" s="25"/>
      <c r="C484" s="26"/>
      <c r="D484" s="618" t="str">
        <f>InpC!D$57</f>
        <v>PR19</v>
      </c>
      <c r="E484" s="618" t="str">
        <f>InpC!E$57</f>
        <v>CPI(H): Fin year average - inflate from base year 2017-18 average</v>
      </c>
      <c r="F484" s="713">
        <f>InpC!F$57</f>
        <v>1.1476732911210807</v>
      </c>
      <c r="G484" s="714" t="str">
        <f>InpC!G$57</f>
        <v>factor</v>
      </c>
      <c r="H484" s="714">
        <f>InpC!H$57</f>
        <v>0</v>
      </c>
      <c r="J484" s="83"/>
      <c r="K484" s="83"/>
    </row>
    <row r="485" spans="1:21" s="57" customFormat="1" ht="14.4" outlineLevel="1">
      <c r="A485" s="698"/>
      <c r="D485" s="110" t="str">
        <f>InpAct!D$253</f>
        <v>PR19</v>
      </c>
      <c r="E485" s="42" t="str">
        <f>InpAct!E$253</f>
        <v>Average of RCV - CPI(H) bf - WWN - nominal</v>
      </c>
      <c r="F485" s="127">
        <f>InpAct!F$253</f>
        <v>0</v>
      </c>
      <c r="G485" s="127" t="str">
        <f>InpAct!G$253</f>
        <v>£m</v>
      </c>
      <c r="H485" s="112">
        <f>InpAct!H$253</f>
        <v>2254.7502001695411</v>
      </c>
      <c r="I485" s="45"/>
      <c r="J485" s="142"/>
      <c r="K485" s="94"/>
    </row>
    <row r="486" spans="1:21" s="57" customFormat="1" ht="14.4" outlineLevel="1">
      <c r="A486" s="698"/>
      <c r="D486" s="110" t="str">
        <f>InpAct!D$265</f>
        <v>PR19</v>
      </c>
      <c r="E486" s="42" t="str">
        <f>InpAct!E$265</f>
        <v>Average of RCV - CPI(H) other adjustments balance - WWN - nominal</v>
      </c>
      <c r="F486" s="127">
        <f>InpAct!F$265</f>
        <v>0</v>
      </c>
      <c r="G486" s="127" t="str">
        <f>InpAct!G$265</f>
        <v>£m</v>
      </c>
      <c r="H486" s="112">
        <f>InpAct!H$265</f>
        <v>0</v>
      </c>
      <c r="I486" s="45"/>
      <c r="J486" s="142"/>
      <c r="K486" s="94"/>
    </row>
    <row r="487" spans="1:21" s="42" customFormat="1" ht="14.4" outlineLevel="1">
      <c r="A487" s="104"/>
      <c r="D487" s="110" t="str">
        <f>InpAct!D$257</f>
        <v>PR19</v>
      </c>
      <c r="E487" s="42" t="str">
        <f>InpAct!E$257</f>
        <v>Average of RCV - CPI(H) + RPI wedge bf - WWN - nominal</v>
      </c>
      <c r="F487" s="127">
        <f>InpAct!F$257</f>
        <v>0</v>
      </c>
      <c r="G487" s="127" t="str">
        <f>InpAct!G$257</f>
        <v>£m</v>
      </c>
      <c r="H487" s="112">
        <f>InpAct!H$257</f>
        <v>2387.7011771011762</v>
      </c>
      <c r="I487" s="45"/>
      <c r="J487" s="142"/>
      <c r="K487" s="89"/>
    </row>
    <row r="488" spans="1:21" s="57" customFormat="1" ht="14.4" outlineLevel="1">
      <c r="A488" s="698"/>
      <c r="D488" s="110" t="str">
        <f>InpAct!D$261</f>
        <v>PR19</v>
      </c>
      <c r="E488" s="42" t="str">
        <f>InpAct!E$261</f>
        <v>Average of RCV post 2020 additions - WWN - nominal</v>
      </c>
      <c r="F488" s="127">
        <f>InpAct!F$261</f>
        <v>0</v>
      </c>
      <c r="G488" s="127" t="str">
        <f>InpAct!G$261</f>
        <v>£m</v>
      </c>
      <c r="H488" s="112">
        <f>InpAct!H$261</f>
        <v>2226.2372661186923</v>
      </c>
      <c r="I488" s="45"/>
      <c r="J488" s="573"/>
      <c r="K488" s="94"/>
    </row>
    <row r="489" spans="1:21" s="57" customFormat="1" ht="14.4" outlineLevel="1">
      <c r="A489" s="698"/>
      <c r="D489" s="110" t="str">
        <f>InpAct!D$270</f>
        <v>PR19</v>
      </c>
      <c r="E489" s="42" t="str">
        <f>InpAct!E$270</f>
        <v>Average of RCV - CPI(H) bf - BR - nominal</v>
      </c>
      <c r="F489" s="127">
        <f>InpAct!F$270</f>
        <v>0</v>
      </c>
      <c r="G489" s="127" t="str">
        <f>InpAct!G$270</f>
        <v>£m</v>
      </c>
      <c r="H489" s="112">
        <f>InpAct!H$270</f>
        <v>702.14839384760921</v>
      </c>
      <c r="I489" s="45"/>
      <c r="J489" s="573"/>
      <c r="K489" s="94"/>
    </row>
    <row r="490" spans="1:21" s="57" customFormat="1" ht="14.4" outlineLevel="1">
      <c r="A490" s="698"/>
      <c r="D490" s="110" t="str">
        <f>InpAct!D$282</f>
        <v>PR19</v>
      </c>
      <c r="E490" s="42" t="str">
        <f>InpAct!E$282</f>
        <v>Average of RCV - CPI(H) other adjustments balance - BR - nominal</v>
      </c>
      <c r="F490" s="127">
        <f>InpAct!F$282</f>
        <v>0</v>
      </c>
      <c r="G490" s="127" t="str">
        <f>InpAct!G$282</f>
        <v>£m</v>
      </c>
      <c r="H490" s="112">
        <f>InpAct!H$282</f>
        <v>0</v>
      </c>
      <c r="I490" s="45"/>
      <c r="J490" s="573"/>
      <c r="K490" s="94"/>
    </row>
    <row r="491" spans="1:21" s="42" customFormat="1" ht="14.4" outlineLevel="1">
      <c r="A491" s="104"/>
      <c r="D491" s="110" t="str">
        <f>InpAct!D$274</f>
        <v>PR19</v>
      </c>
      <c r="E491" s="42" t="str">
        <f>InpAct!E$274</f>
        <v>Average of RCV - CPI(H) + RPI wedge bf - BR - nominal</v>
      </c>
      <c r="F491" s="127">
        <f>InpAct!F$274</f>
        <v>0</v>
      </c>
      <c r="G491" s="127" t="str">
        <f>InpAct!G$274</f>
        <v>£m</v>
      </c>
      <c r="H491" s="112">
        <f>InpAct!H$274</f>
        <v>737.85866815244731</v>
      </c>
      <c r="I491" s="45"/>
      <c r="J491" s="112"/>
      <c r="K491" s="89"/>
    </row>
    <row r="492" spans="1:21" ht="12.75" customHeight="1" outlineLevel="1">
      <c r="A492" s="25"/>
      <c r="B492" s="25"/>
      <c r="C492" s="26"/>
      <c r="D492" s="110" t="str">
        <f>InpAct!D$278</f>
        <v>PR19</v>
      </c>
      <c r="E492" s="110" t="str">
        <f>InpAct!E$278</f>
        <v>Average of RCV post 2020 additions - BR - nominal</v>
      </c>
      <c r="F492" s="127">
        <f>InpAct!F$278</f>
        <v>0</v>
      </c>
      <c r="G492" s="127" t="str">
        <f>InpAct!G$278</f>
        <v>£m</v>
      </c>
      <c r="H492" s="112">
        <f>InpAct!H$278</f>
        <v>370.03530470311171</v>
      </c>
      <c r="J492" s="418"/>
      <c r="K492" s="82"/>
    </row>
    <row r="493" spans="1:21" ht="12.75" customHeight="1" outlineLevel="1">
      <c r="A493" s="25"/>
      <c r="B493" s="25"/>
      <c r="C493" s="26"/>
      <c r="D493" s="747" t="str">
        <f>InpC!$F$27</f>
        <v>PR19</v>
      </c>
      <c r="E493" s="715" t="s">
        <v>561</v>
      </c>
      <c r="F493" s="716"/>
      <c r="G493" s="716" t="s">
        <v>2</v>
      </c>
      <c r="H493" s="717">
        <f>SUM(H485:H492) / $F484</f>
        <v>7562.0222908689821</v>
      </c>
      <c r="J493" s="82"/>
      <c r="K493" s="82"/>
    </row>
    <row r="494" spans="1:21" ht="12.75" customHeight="1" outlineLevel="1">
      <c r="A494" s="25"/>
      <c r="B494" s="25"/>
      <c r="C494" s="26"/>
      <c r="D494" s="86"/>
      <c r="E494" s="161"/>
      <c r="F494" s="9"/>
      <c r="G494" s="9"/>
      <c r="H494" s="587"/>
      <c r="J494" s="82"/>
      <c r="K494" s="82"/>
    </row>
    <row r="495" spans="1:21" ht="12.75" customHeight="1" outlineLevel="1">
      <c r="A495" s="25"/>
      <c r="B495" s="25"/>
      <c r="C495" s="26"/>
      <c r="D495" s="618" t="str">
        <f>InpC!D$57</f>
        <v>PR19</v>
      </c>
      <c r="E495" s="618" t="str">
        <f>InpC!E$57</f>
        <v>CPI(H): Fin year average - inflate from base year 2017-18 average</v>
      </c>
      <c r="F495" s="713">
        <f>InpC!F$57</f>
        <v>1.1476732911210807</v>
      </c>
      <c r="G495" s="714" t="str">
        <f>InpC!G$57</f>
        <v>factor</v>
      </c>
      <c r="H495" s="714">
        <f>InpC!H$57</f>
        <v>0</v>
      </c>
      <c r="J495" s="83"/>
      <c r="K495" s="83"/>
    </row>
    <row r="496" spans="1:21" s="57" customFormat="1" ht="14.4" outlineLevel="1">
      <c r="A496" s="698"/>
      <c r="D496" s="110" t="str">
        <f>InpAct!D$255</f>
        <v>PR19</v>
      </c>
      <c r="E496" s="42" t="str">
        <f>InpAct!E$255</f>
        <v>Return on RCV - CPI(H) bf - WWN - nominal</v>
      </c>
      <c r="F496" s="127">
        <f>InpAct!F$255</f>
        <v>0</v>
      </c>
      <c r="G496" s="127" t="str">
        <f>InpAct!G$255</f>
        <v>£m</v>
      </c>
      <c r="H496" s="112">
        <f>InpAct!H$255</f>
        <v>74.495122918586532</v>
      </c>
      <c r="I496" s="45"/>
      <c r="J496" s="112"/>
      <c r="K496" s="94"/>
    </row>
    <row r="497" spans="1:21" s="57" customFormat="1" ht="14.4" outlineLevel="1">
      <c r="A497" s="698"/>
      <c r="D497" s="110" t="str">
        <f>InpAct!D$267</f>
        <v>PR19</v>
      </c>
      <c r="E497" s="42" t="str">
        <f>InpAct!E$267</f>
        <v>Return on RCV - CPI(H) other adjustments - WWN - nominal</v>
      </c>
      <c r="F497" s="127">
        <f>InpAct!F$267</f>
        <v>0</v>
      </c>
      <c r="G497" s="127" t="str">
        <f>InpAct!G$267</f>
        <v>£m</v>
      </c>
      <c r="H497" s="112">
        <f>InpAct!H$267</f>
        <v>0</v>
      </c>
      <c r="I497" s="45"/>
      <c r="J497" s="112"/>
      <c r="K497" s="94"/>
    </row>
    <row r="498" spans="1:21" s="57" customFormat="1" ht="14.4" outlineLevel="1">
      <c r="A498" s="54"/>
      <c r="D498" s="110" t="str">
        <f>InpAct!D$259</f>
        <v>PR19</v>
      </c>
      <c r="E498" s="42" t="str">
        <f>InpAct!E$259</f>
        <v>Return on RCV - CPI(H) + RPI wedge bf - WWN - nominal</v>
      </c>
      <c r="F498" s="127">
        <f>InpAct!F$259</f>
        <v>0</v>
      </c>
      <c r="G498" s="127" t="str">
        <f>InpAct!G$259</f>
        <v>£m</v>
      </c>
      <c r="H498" s="112">
        <f>InpAct!H$259</f>
        <v>54.940250684241349</v>
      </c>
      <c r="I498" s="45"/>
      <c r="J498" s="112"/>
      <c r="K498" s="94"/>
    </row>
    <row r="499" spans="1:21" s="57" customFormat="1" ht="14.4" outlineLevel="1">
      <c r="A499" s="54"/>
      <c r="D499" s="110" t="str">
        <f>InpAct!D$263</f>
        <v>PR19</v>
      </c>
      <c r="E499" s="42" t="str">
        <f>InpAct!E$263</f>
        <v>Return on RCV additions - WWN - nominal</v>
      </c>
      <c r="F499" s="127">
        <f>InpAct!F$263</f>
        <v>0</v>
      </c>
      <c r="G499" s="127" t="str">
        <f>InpAct!G$263</f>
        <v>£m</v>
      </c>
      <c r="H499" s="112">
        <f>InpAct!H$263</f>
        <v>73.553078639478443</v>
      </c>
      <c r="I499" s="45"/>
      <c r="J499" s="112"/>
      <c r="K499" s="94"/>
    </row>
    <row r="500" spans="1:21" s="57" customFormat="1" ht="14.4" outlineLevel="1">
      <c r="A500" s="54"/>
      <c r="D500" s="110" t="str">
        <f>InpAct!D$272</f>
        <v>PR19</v>
      </c>
      <c r="E500" s="42" t="str">
        <f>InpAct!E$272</f>
        <v>Return on RCV - CPI(H) bf - BR - nominal</v>
      </c>
      <c r="F500" s="127">
        <f>InpAct!F$272</f>
        <v>0</v>
      </c>
      <c r="G500" s="127" t="str">
        <f>InpAct!G$272</f>
        <v>£m</v>
      </c>
      <c r="H500" s="112">
        <f>InpAct!H$272</f>
        <v>23.198415018582846</v>
      </c>
      <c r="I500" s="45"/>
      <c r="J500" s="112"/>
      <c r="K500" s="94"/>
    </row>
    <row r="501" spans="1:21" s="57" customFormat="1" ht="14.4" outlineLevel="1">
      <c r="A501" s="54"/>
      <c r="D501" s="110" t="str">
        <f>InpAct!D$284</f>
        <v>PR19</v>
      </c>
      <c r="E501" s="42" t="str">
        <f>InpAct!E$284</f>
        <v>Return on RCV - CPI(H) other adjustments - BR - nominal</v>
      </c>
      <c r="F501" s="127">
        <f>InpAct!F$284</f>
        <v>0</v>
      </c>
      <c r="G501" s="127" t="str">
        <f>InpAct!G$284</f>
        <v>£m</v>
      </c>
      <c r="H501" s="112">
        <f>InpAct!H$284</f>
        <v>0</v>
      </c>
      <c r="I501" s="45"/>
      <c r="J501" s="573"/>
      <c r="K501" s="94"/>
    </row>
    <row r="502" spans="1:21" s="57" customFormat="1" ht="14.4" outlineLevel="1">
      <c r="A502" s="54"/>
      <c r="D502" s="110" t="str">
        <f>InpAct!D$276</f>
        <v>PR19</v>
      </c>
      <c r="E502" s="42" t="str">
        <f>InpAct!E$276</f>
        <v>Return on RCV - CPI(H) + RPI wedge bf - BR - nominal</v>
      </c>
      <c r="F502" s="127">
        <f>InpAct!F$276</f>
        <v>0</v>
      </c>
      <c r="G502" s="127" t="str">
        <f>InpAct!G$276</f>
        <v>£m</v>
      </c>
      <c r="H502" s="112">
        <f>InpAct!H$276</f>
        <v>16.977895134705186</v>
      </c>
      <c r="I502" s="45"/>
      <c r="J502" s="112"/>
      <c r="K502" s="94"/>
    </row>
    <row r="503" spans="1:21" s="57" customFormat="1" ht="14.4" outlineLevel="1">
      <c r="A503" s="54"/>
      <c r="D503" s="110" t="str">
        <f>InpAct!D$280</f>
        <v>PR19</v>
      </c>
      <c r="E503" s="42" t="str">
        <f>InpAct!E$280</f>
        <v>Return on RCV additions - BR - nominal</v>
      </c>
      <c r="F503" s="127">
        <f>InpAct!F$280</f>
        <v>0</v>
      </c>
      <c r="G503" s="127" t="str">
        <f>InpAct!G$280</f>
        <v>£m</v>
      </c>
      <c r="H503" s="112">
        <f>InpAct!H$280</f>
        <v>12.225667174129612</v>
      </c>
      <c r="I503" s="45"/>
      <c r="J503" s="112"/>
      <c r="K503" s="94"/>
    </row>
    <row r="504" spans="1:21" ht="12.75" customHeight="1" outlineLevel="1">
      <c r="A504" s="25"/>
      <c r="B504" s="18"/>
      <c r="C504" s="19"/>
      <c r="D504" s="747" t="str">
        <f>InpC!$F$27</f>
        <v>PR19</v>
      </c>
      <c r="E504" s="97" t="s">
        <v>562</v>
      </c>
      <c r="F504" s="130"/>
      <c r="G504" s="130" t="s">
        <v>2</v>
      </c>
      <c r="H504" s="185">
        <f>SUM(H496:H503) / $F495</f>
        <v>222.52886038695831</v>
      </c>
      <c r="J504" s="82"/>
      <c r="K504" s="82"/>
    </row>
    <row r="505" spans="1:21" s="79" customFormat="1" ht="12.75" customHeight="1" outlineLevel="1">
      <c r="D505" s="92"/>
      <c r="E505" s="92"/>
      <c r="F505" s="131"/>
      <c r="G505" s="131"/>
      <c r="H505" s="187"/>
      <c r="I505" s="45"/>
      <c r="J505" s="82"/>
      <c r="K505" s="82"/>
      <c r="L505" s="78"/>
      <c r="M505" s="78"/>
      <c r="N505" s="78"/>
      <c r="O505" s="78"/>
      <c r="P505" s="78"/>
      <c r="Q505" s="78"/>
      <c r="R505" s="78"/>
      <c r="S505" s="78"/>
      <c r="T505" s="78"/>
      <c r="U505" s="78"/>
    </row>
    <row r="506" spans="1:21" customFormat="1" ht="14.4" outlineLevel="1">
      <c r="A506" s="106"/>
      <c r="B506" s="270" t="s">
        <v>127</v>
      </c>
      <c r="C506" s="164"/>
      <c r="D506" s="165"/>
      <c r="F506" s="274"/>
      <c r="G506" s="274"/>
      <c r="H506" s="271"/>
      <c r="I506" s="45"/>
      <c r="J506" s="271"/>
      <c r="K506" s="271"/>
      <c r="L506" s="271"/>
      <c r="M506" s="271"/>
      <c r="N506" s="271"/>
      <c r="O506" s="271"/>
      <c r="P506" s="271"/>
      <c r="Q506" s="271"/>
      <c r="R506" s="271"/>
      <c r="S506" s="271"/>
      <c r="T506" s="271"/>
      <c r="U506" s="271"/>
    </row>
    <row r="507" spans="1:21" ht="12.75" customHeight="1" outlineLevel="1">
      <c r="A507" s="25"/>
      <c r="B507" s="18"/>
      <c r="C507" s="19"/>
      <c r="D507" s="86"/>
      <c r="E507" s="110" t="str">
        <f>InpC!E$36</f>
        <v>Company type switch</v>
      </c>
      <c r="F507" s="412">
        <f>InpC!F$36</f>
        <v>0</v>
      </c>
      <c r="G507" s="110" t="str">
        <f>InpC!G$36</f>
        <v xml:space="preserve">0 = WaSC, 1 = WoC </v>
      </c>
      <c r="H507" s="110"/>
      <c r="J507" s="117"/>
      <c r="K507" s="83"/>
    </row>
    <row r="508" spans="1:21" s="120" customFormat="1" ht="12.75" customHeight="1" outlineLevel="1">
      <c r="A508" s="25"/>
      <c r="B508" s="25"/>
      <c r="C508" s="26"/>
      <c r="D508" s="171" t="str">
        <f>D$480</f>
        <v>PR14</v>
      </c>
      <c r="E508" s="171" t="str">
        <f t="shared" ref="E508:H508" si="107">E$480</f>
        <v>Total return on RCV - 201718 year average CPIH deflated - Wastewater</v>
      </c>
      <c r="F508" s="280">
        <f t="shared" si="107"/>
        <v>0</v>
      </c>
      <c r="G508" s="280" t="str">
        <f t="shared" si="107"/>
        <v>£m</v>
      </c>
      <c r="H508" s="276">
        <f t="shared" si="107"/>
        <v>243.65661907196048</v>
      </c>
      <c r="I508" s="45"/>
      <c r="J508" s="277"/>
      <c r="K508" s="277"/>
    </row>
    <row r="509" spans="1:21" ht="12.75" customHeight="1" outlineLevel="1">
      <c r="A509" s="25"/>
      <c r="B509" s="18"/>
      <c r="C509" s="19"/>
      <c r="D509" s="87" t="str">
        <f>D$504</f>
        <v>PR19</v>
      </c>
      <c r="E509" s="87" t="str">
        <f t="shared" ref="E509:H509" si="108">E$504</f>
        <v xml:space="preserve">Return on RCV - 2017/18 year average CPIH deflated - Wastewater </v>
      </c>
      <c r="F509" s="280">
        <f t="shared" si="108"/>
        <v>0</v>
      </c>
      <c r="G509" s="280" t="str">
        <f t="shared" si="108"/>
        <v>£m</v>
      </c>
      <c r="H509" s="276">
        <f t="shared" si="108"/>
        <v>222.52886038695831</v>
      </c>
      <c r="J509" s="82"/>
      <c r="K509" s="82"/>
    </row>
    <row r="510" spans="1:21" s="79" customFormat="1" ht="12.75" customHeight="1" outlineLevel="1">
      <c r="D510" s="91"/>
      <c r="E510" s="91" t="s">
        <v>131</v>
      </c>
      <c r="F510" s="128"/>
      <c r="G510" s="128" t="s">
        <v>2</v>
      </c>
      <c r="H510" s="184">
        <f>IF(F$507 = 1, 0, H509 - H508)</f>
        <v>-21.127758685002163</v>
      </c>
      <c r="I510" s="45"/>
      <c r="J510" s="82"/>
      <c r="K510" s="82"/>
      <c r="L510" s="78"/>
      <c r="M510" s="78"/>
      <c r="N510" s="78"/>
      <c r="O510" s="78"/>
      <c r="P510" s="78"/>
      <c r="Q510" s="78"/>
      <c r="R510" s="78"/>
      <c r="S510" s="78"/>
      <c r="T510" s="78"/>
      <c r="U510" s="78"/>
    </row>
    <row r="511" spans="1:21" ht="12.75" customHeight="1" outlineLevel="1">
      <c r="A511" s="45"/>
      <c r="B511" s="45"/>
      <c r="C511" s="45"/>
      <c r="D511" s="87"/>
      <c r="E511" s="86"/>
      <c r="F511" s="125"/>
      <c r="G511" s="125"/>
      <c r="H511" s="125"/>
      <c r="J511" s="82"/>
      <c r="K511" s="82"/>
    </row>
    <row r="512" spans="1:21" customFormat="1" ht="14.4" outlineLevel="1">
      <c r="A512" s="106"/>
      <c r="B512" s="270" t="s">
        <v>407</v>
      </c>
      <c r="C512" s="12"/>
      <c r="D512" s="86"/>
      <c r="F512" s="274"/>
      <c r="G512" s="274"/>
      <c r="H512" s="271"/>
      <c r="I512" s="45"/>
      <c r="J512" s="82"/>
      <c r="K512" s="271"/>
      <c r="L512" s="271"/>
      <c r="M512" s="271"/>
      <c r="N512" s="271"/>
      <c r="O512" s="271"/>
      <c r="P512" s="271"/>
      <c r="Q512" s="271"/>
      <c r="R512" s="271"/>
      <c r="S512" s="271"/>
      <c r="T512" s="271"/>
      <c r="U512" s="271"/>
    </row>
    <row r="513" spans="1:21" ht="12.75" customHeight="1" outlineLevel="1">
      <c r="A513" s="25"/>
      <c r="B513" s="18"/>
      <c r="C513" s="19"/>
      <c r="D513" s="86"/>
      <c r="E513" s="110" t="str">
        <f>InpC!E$36</f>
        <v>Company type switch</v>
      </c>
      <c r="F513" s="412">
        <f>InpC!F$36</f>
        <v>0</v>
      </c>
      <c r="G513" s="110" t="str">
        <f>InpC!G$36</f>
        <v xml:space="preserve">0 = WaSC, 1 = WoC </v>
      </c>
      <c r="H513" s="110"/>
      <c r="J513" s="117"/>
      <c r="K513" s="83"/>
    </row>
    <row r="514" spans="1:21" ht="12.75" customHeight="1" outlineLevel="1">
      <c r="A514" s="25"/>
      <c r="B514" s="18"/>
      <c r="C514" s="19"/>
      <c r="D514" s="91" t="str">
        <f>D$493</f>
        <v>PR19</v>
      </c>
      <c r="E514" s="91" t="str">
        <f t="shared" ref="E514:H514" si="109">E$493</f>
        <v>Total RCV - 2017/18 year average CPIH deflated - Wastewater</v>
      </c>
      <c r="F514" s="280">
        <f t="shared" si="109"/>
        <v>0</v>
      </c>
      <c r="G514" s="280" t="str">
        <f t="shared" si="109"/>
        <v>£m</v>
      </c>
      <c r="H514" s="276">
        <f t="shared" si="109"/>
        <v>7562.0222908689821</v>
      </c>
      <c r="J514" s="82"/>
      <c r="K514" s="82"/>
    </row>
    <row r="515" spans="1:21" ht="12.75" customHeight="1" outlineLevel="1">
      <c r="A515" s="25"/>
      <c r="B515" s="18"/>
      <c r="C515" s="19"/>
      <c r="D515" s="91" t="str">
        <f>D$504</f>
        <v>PR19</v>
      </c>
      <c r="E515" s="91" t="str">
        <f t="shared" ref="E515:H515" si="110">E$504</f>
        <v xml:space="preserve">Return on RCV - 2017/18 year average CPIH deflated - Wastewater </v>
      </c>
      <c r="F515" s="280">
        <f t="shared" si="110"/>
        <v>0</v>
      </c>
      <c r="G515" s="280" t="str">
        <f t="shared" si="110"/>
        <v>£m</v>
      </c>
      <c r="H515" s="276">
        <f t="shared" si="110"/>
        <v>222.52886038695831</v>
      </c>
      <c r="J515" s="82"/>
      <c r="K515" s="82"/>
    </row>
    <row r="516" spans="1:21" ht="12.75" customHeight="1" outlineLevel="1">
      <c r="A516" s="25"/>
      <c r="B516" s="18"/>
      <c r="C516" s="19"/>
      <c r="D516" s="746" t="str">
        <f>InpC!$F$27</f>
        <v>PR19</v>
      </c>
      <c r="E516" s="91" t="s">
        <v>129</v>
      </c>
      <c r="F516" s="128"/>
      <c r="G516" s="128" t="s">
        <v>3</v>
      </c>
      <c r="H516" s="186">
        <f xml:space="preserve"> IFERROR(IF(F$513 = 1, 0,  H515 / H514), 0)</f>
        <v>2.9427162712236152E-2</v>
      </c>
      <c r="J516" s="82"/>
      <c r="K516" s="82"/>
    </row>
    <row r="517" spans="1:21" ht="12.75" customHeight="1" outlineLevel="1">
      <c r="A517" s="25"/>
      <c r="B517" s="18"/>
      <c r="C517" s="19"/>
      <c r="D517" s="91"/>
      <c r="E517" s="91"/>
      <c r="F517" s="128"/>
      <c r="G517" s="128"/>
      <c r="H517" s="184"/>
      <c r="J517" s="82"/>
      <c r="K517" s="82"/>
    </row>
    <row r="518" spans="1:21" ht="12.75" customHeight="1" outlineLevel="1">
      <c r="A518" s="25"/>
      <c r="B518" s="18"/>
      <c r="C518" s="19"/>
      <c r="D518" s="86"/>
      <c r="E518" s="110" t="str">
        <f>InpC!E$36</f>
        <v>Company type switch</v>
      </c>
      <c r="F518" s="412">
        <f>InpC!F$36</f>
        <v>0</v>
      </c>
      <c r="G518" s="110" t="str">
        <f>InpC!G$36</f>
        <v xml:space="preserve">0 = WaSC, 1 = WoC </v>
      </c>
      <c r="H518" s="110"/>
      <c r="J518" s="117"/>
      <c r="K518" s="83"/>
    </row>
    <row r="519" spans="1:21" ht="12.75" customHeight="1" outlineLevel="1">
      <c r="A519" s="45"/>
      <c r="B519" s="45"/>
      <c r="C519" s="45"/>
      <c r="D519" s="278" t="str">
        <f>D$472</f>
        <v>PR14</v>
      </c>
      <c r="E519" s="278" t="str">
        <f t="shared" ref="E519:H519" si="111">E$472</f>
        <v>Total RCV - 201718 year average CPIH deflated - Wastewater</v>
      </c>
      <c r="F519" s="279">
        <f t="shared" si="111"/>
        <v>0</v>
      </c>
      <c r="G519" s="279" t="str">
        <f t="shared" si="111"/>
        <v>£m</v>
      </c>
      <c r="H519" s="225">
        <f t="shared" si="111"/>
        <v>6768.2394186655702</v>
      </c>
      <c r="J519" s="196"/>
      <c r="K519" s="196"/>
    </row>
    <row r="520" spans="1:21" ht="12.75" customHeight="1" outlineLevel="1">
      <c r="A520" s="45"/>
      <c r="B520" s="45"/>
      <c r="C520" s="45"/>
      <c r="D520" s="87" t="str">
        <f>D$516</f>
        <v>PR19</v>
      </c>
      <c r="E520" s="87" t="str">
        <f t="shared" ref="E520:H520" si="112">E$516</f>
        <v>PR19 Weighted average WACC - Wastewater</v>
      </c>
      <c r="F520" s="88">
        <f t="shared" si="112"/>
        <v>0</v>
      </c>
      <c r="G520" s="21" t="str">
        <f t="shared" si="112"/>
        <v>%</v>
      </c>
      <c r="H520" s="88">
        <f t="shared" si="112"/>
        <v>2.9427162712236152E-2</v>
      </c>
      <c r="J520" s="82"/>
      <c r="K520" s="82"/>
    </row>
    <row r="521" spans="1:21" s="79" customFormat="1" ht="12.75" customHeight="1" outlineLevel="1">
      <c r="D521" s="92"/>
      <c r="E521" s="92" t="s">
        <v>130</v>
      </c>
      <c r="F521" s="131"/>
      <c r="G521" s="131" t="s">
        <v>2</v>
      </c>
      <c r="H521" s="187">
        <f xml:space="preserve"> IF(F$518 = 1, 0, H520 * H519)</f>
        <v>199.17008264844236</v>
      </c>
      <c r="I521" s="45"/>
      <c r="J521" s="82"/>
      <c r="K521" s="82"/>
      <c r="L521" s="78"/>
      <c r="M521" s="78"/>
      <c r="N521" s="78"/>
      <c r="O521" s="78"/>
      <c r="P521" s="78"/>
      <c r="Q521" s="78"/>
      <c r="R521" s="78"/>
      <c r="S521" s="78"/>
      <c r="T521" s="78"/>
      <c r="U521" s="78"/>
    </row>
    <row r="522" spans="1:21" customFormat="1" ht="14.4" outlineLevel="1">
      <c r="A522" s="106"/>
      <c r="B522" s="270"/>
      <c r="C522" s="164"/>
      <c r="D522" s="165"/>
      <c r="F522" s="274"/>
      <c r="G522" s="274"/>
      <c r="H522" s="271"/>
      <c r="I522" s="45"/>
      <c r="J522" s="271"/>
      <c r="K522" s="271"/>
      <c r="L522" s="271"/>
      <c r="M522" s="271"/>
      <c r="N522" s="271"/>
      <c r="O522" s="271"/>
      <c r="P522" s="271"/>
      <c r="Q522" s="271"/>
      <c r="R522" s="271"/>
      <c r="S522" s="271"/>
      <c r="T522" s="271"/>
      <c r="U522" s="271"/>
    </row>
    <row r="523" spans="1:21" customFormat="1" ht="14.4" outlineLevel="1">
      <c r="A523" s="106"/>
      <c r="B523" s="270" t="s">
        <v>267</v>
      </c>
      <c r="C523" s="164"/>
      <c r="D523" s="165"/>
      <c r="F523" s="274"/>
      <c r="G523" s="274"/>
      <c r="H523" s="271"/>
      <c r="I523" s="45"/>
      <c r="J523" s="271"/>
      <c r="K523" s="271"/>
      <c r="L523" s="271"/>
      <c r="M523" s="271"/>
      <c r="N523" s="271"/>
      <c r="O523" s="271"/>
      <c r="P523" s="271"/>
      <c r="Q523" s="271"/>
      <c r="R523" s="271"/>
      <c r="S523" s="271"/>
      <c r="T523" s="271"/>
      <c r="U523" s="271"/>
    </row>
    <row r="524" spans="1:21" ht="12.75" customHeight="1" outlineLevel="1">
      <c r="A524" s="25"/>
      <c r="B524" s="18"/>
      <c r="C524" s="19"/>
      <c r="D524" s="86"/>
      <c r="E524" s="110" t="str">
        <f>InpC!E$36</f>
        <v>Company type switch</v>
      </c>
      <c r="F524" s="412">
        <f>InpC!F$36</f>
        <v>0</v>
      </c>
      <c r="G524" s="110" t="str">
        <f>InpC!G$36</f>
        <v xml:space="preserve">0 = WaSC, 1 = WoC </v>
      </c>
      <c r="H524" s="110"/>
      <c r="J524" s="117"/>
      <c r="K524" s="83"/>
    </row>
    <row r="525" spans="1:21" s="120" customFormat="1" ht="12.75" customHeight="1" outlineLevel="1">
      <c r="A525" s="25"/>
      <c r="B525" s="25"/>
      <c r="C525" s="26"/>
      <c r="D525" s="171" t="str">
        <f>D$480</f>
        <v>PR14</v>
      </c>
      <c r="E525" s="171" t="str">
        <f t="shared" ref="E525:H525" si="113">E$480</f>
        <v>Total return on RCV - 201718 year average CPIH deflated - Wastewater</v>
      </c>
      <c r="F525" s="280">
        <f t="shared" si="113"/>
        <v>0</v>
      </c>
      <c r="G525" s="280" t="str">
        <f t="shared" si="113"/>
        <v>£m</v>
      </c>
      <c r="H525" s="276">
        <f t="shared" si="113"/>
        <v>243.65661907196048</v>
      </c>
      <c r="I525" s="45"/>
      <c r="J525" s="277"/>
      <c r="K525" s="277"/>
    </row>
    <row r="526" spans="1:21" ht="12.75" customHeight="1" outlineLevel="1">
      <c r="A526" s="77"/>
      <c r="B526" s="18"/>
      <c r="C526" s="19"/>
      <c r="D526" s="87"/>
      <c r="E526" s="87" t="str">
        <f>E$521</f>
        <v>PR14 Return on RCV with PR19 WACC - Wastewater</v>
      </c>
      <c r="F526" s="280">
        <f t="shared" ref="F526:H526" si="114">F$521</f>
        <v>0</v>
      </c>
      <c r="G526" s="280" t="str">
        <f t="shared" si="114"/>
        <v>£m</v>
      </c>
      <c r="H526" s="276">
        <f t="shared" si="114"/>
        <v>199.17008264844236</v>
      </c>
      <c r="J526" s="82"/>
      <c r="K526" s="82"/>
    </row>
    <row r="527" spans="1:21" ht="12.75" customHeight="1" outlineLevel="1">
      <c r="A527" s="25"/>
      <c r="B527" s="45"/>
      <c r="C527" s="45"/>
      <c r="D527" s="139"/>
      <c r="E527" s="58" t="s">
        <v>132</v>
      </c>
      <c r="F527" s="96"/>
      <c r="G527" s="96" t="s">
        <v>2</v>
      </c>
      <c r="H527" s="188">
        <f>IF(F$524 = 1, 0, H526 - H525)</f>
        <v>-44.486536423518118</v>
      </c>
      <c r="J527" s="94"/>
      <c r="K527" s="82"/>
    </row>
    <row r="528" spans="1:21" customFormat="1" ht="14.4" outlineLevel="1">
      <c r="A528" s="106"/>
      <c r="B528" s="11"/>
      <c r="C528" s="164"/>
      <c r="D528" s="165"/>
      <c r="F528" s="274"/>
      <c r="G528" s="274"/>
      <c r="H528" s="271"/>
      <c r="I528" s="45"/>
      <c r="J528" s="271"/>
      <c r="K528" s="271"/>
      <c r="L528" s="271"/>
      <c r="M528" s="271"/>
      <c r="N528" s="271"/>
      <c r="O528" s="271"/>
      <c r="P528" s="271"/>
      <c r="Q528" s="271"/>
      <c r="R528" s="271"/>
      <c r="S528" s="271"/>
      <c r="T528" s="271"/>
      <c r="U528" s="271"/>
    </row>
    <row r="529" spans="1:21" customFormat="1" ht="14.4" outlineLevel="1">
      <c r="A529" s="106"/>
      <c r="B529" s="270" t="s">
        <v>405</v>
      </c>
      <c r="C529" s="164"/>
      <c r="D529" s="165"/>
      <c r="F529" s="274"/>
      <c r="G529" s="274"/>
      <c r="H529" s="271"/>
      <c r="I529" s="45"/>
      <c r="J529" s="271"/>
      <c r="K529" s="271"/>
      <c r="L529" s="271"/>
      <c r="M529" s="271"/>
      <c r="N529" s="271"/>
      <c r="O529" s="271"/>
      <c r="P529" s="271"/>
      <c r="Q529" s="271"/>
      <c r="R529" s="271"/>
      <c r="S529" s="271"/>
      <c r="T529" s="271"/>
      <c r="U529" s="271"/>
    </row>
    <row r="530" spans="1:21" ht="12.75" customHeight="1" outlineLevel="1">
      <c r="A530" s="25"/>
      <c r="B530" s="18"/>
      <c r="C530" s="19"/>
      <c r="D530" s="86"/>
      <c r="E530" s="110" t="str">
        <f>InpC!E$36</f>
        <v>Company type switch</v>
      </c>
      <c r="F530" s="412">
        <f>InpC!F$36</f>
        <v>0</v>
      </c>
      <c r="G530" s="110" t="str">
        <f>InpC!G$36</f>
        <v xml:space="preserve">0 = WaSC, 1 = WoC </v>
      </c>
      <c r="H530" s="110"/>
      <c r="J530" s="117"/>
      <c r="K530" s="83"/>
    </row>
    <row r="531" spans="1:21" ht="12.75" customHeight="1" outlineLevel="1">
      <c r="A531" s="25"/>
      <c r="B531" s="45"/>
      <c r="C531" s="45"/>
      <c r="D531" s="86"/>
      <c r="E531" s="58" t="str">
        <f>E$510</f>
        <v>Change in Return on RCV - Wastewater</v>
      </c>
      <c r="F531" s="145">
        <f t="shared" ref="F531:H531" si="115">F$510</f>
        <v>0</v>
      </c>
      <c r="G531" s="145" t="str">
        <f t="shared" si="115"/>
        <v>£m</v>
      </c>
      <c r="H531" s="85">
        <f t="shared" si="115"/>
        <v>-21.127758685002163</v>
      </c>
      <c r="J531" s="82"/>
      <c r="K531" s="82"/>
    </row>
    <row r="532" spans="1:21" ht="12.75" customHeight="1" outlineLevel="1">
      <c r="A532" s="77"/>
      <c r="B532" s="45"/>
      <c r="C532" s="45"/>
      <c r="D532" s="86"/>
      <c r="E532" s="58" t="str">
        <f>E$527</f>
        <v>Change in Return on RCV due to change in WACC - Wastewater</v>
      </c>
      <c r="F532" s="145">
        <f t="shared" ref="F532:H532" si="116">F$527</f>
        <v>0</v>
      </c>
      <c r="G532" s="145" t="str">
        <f t="shared" si="116"/>
        <v>£m</v>
      </c>
      <c r="H532" s="85">
        <f t="shared" si="116"/>
        <v>-44.486536423518118</v>
      </c>
      <c r="J532" s="82"/>
      <c r="K532" s="82"/>
    </row>
    <row r="533" spans="1:21" s="57" customFormat="1" ht="14.4" outlineLevel="1">
      <c r="A533" s="54"/>
      <c r="D533" s="139"/>
      <c r="E533" s="58" t="s">
        <v>133</v>
      </c>
      <c r="F533" s="96"/>
      <c r="G533" s="96" t="s">
        <v>2</v>
      </c>
      <c r="H533" s="188">
        <f>IF(F$524 = 1, 0, H531 - H532)</f>
        <v>23.358777738515954</v>
      </c>
      <c r="I533" s="45"/>
      <c r="J533" s="94"/>
      <c r="K533" s="94"/>
    </row>
    <row r="534" spans="1:21" ht="12.75" customHeight="1">
      <c r="A534" s="25"/>
      <c r="B534" s="18"/>
      <c r="C534" s="19"/>
      <c r="D534" s="87"/>
      <c r="E534" s="10"/>
      <c r="F534" s="125"/>
      <c r="G534" s="125"/>
      <c r="H534" s="188"/>
      <c r="J534" s="82"/>
      <c r="K534" s="82"/>
    </row>
    <row r="535" spans="1:21" customFormat="1" ht="14.4">
      <c r="A535" s="106"/>
      <c r="B535" s="270" t="s">
        <v>128</v>
      </c>
      <c r="C535" s="164"/>
      <c r="D535" s="165"/>
      <c r="F535" s="274"/>
      <c r="G535" s="274"/>
      <c r="H535" s="271"/>
      <c r="I535" s="45"/>
      <c r="J535" s="271"/>
      <c r="K535" s="271"/>
      <c r="L535" s="271"/>
      <c r="M535" s="271"/>
      <c r="N535" s="271"/>
      <c r="O535" s="271"/>
      <c r="P535" s="271"/>
      <c r="Q535" s="271"/>
      <c r="R535" s="271"/>
      <c r="S535" s="271"/>
      <c r="T535" s="271"/>
      <c r="U535" s="271"/>
    </row>
    <row r="536" spans="1:21" s="57" customFormat="1" ht="14.4">
      <c r="A536" s="54"/>
      <c r="D536" s="139"/>
      <c r="E536" s="144" t="str">
        <f>E$455</f>
        <v>Change in Return on RCV due to change in WACC - Water</v>
      </c>
      <c r="F536" s="145">
        <f t="shared" ref="F536:H536" si="117">F$455</f>
        <v>0</v>
      </c>
      <c r="G536" s="145" t="str">
        <f t="shared" si="117"/>
        <v>£m</v>
      </c>
      <c r="H536" s="85">
        <f t="shared" si="117"/>
        <v>-38.389645853109897</v>
      </c>
      <c r="I536" s="45"/>
      <c r="K536" s="94"/>
    </row>
    <row r="537" spans="1:21" s="57" customFormat="1" ht="14.4">
      <c r="A537" s="54"/>
      <c r="D537" s="139"/>
      <c r="E537" s="144" t="str">
        <f>E$527</f>
        <v>Change in Return on RCV due to change in WACC - Wastewater</v>
      </c>
      <c r="F537" s="145">
        <f t="shared" ref="F537:H537" si="118">F$527</f>
        <v>0</v>
      </c>
      <c r="G537" s="145" t="str">
        <f t="shared" si="118"/>
        <v>£m</v>
      </c>
      <c r="H537" s="85">
        <f t="shared" si="118"/>
        <v>-44.486536423518118</v>
      </c>
      <c r="I537" s="45"/>
      <c r="K537" s="94"/>
    </row>
    <row r="538" spans="1:21" s="120" customFormat="1" ht="14.4">
      <c r="A538" s="11"/>
      <c r="D538" s="144"/>
      <c r="E538" s="296" t="s">
        <v>134</v>
      </c>
      <c r="F538" s="297"/>
      <c r="G538" s="297" t="s">
        <v>2</v>
      </c>
      <c r="H538" s="299">
        <f>SUM(H536:H537)</f>
        <v>-82.876182276628015</v>
      </c>
      <c r="I538" s="45"/>
      <c r="J538" s="120" t="s">
        <v>502</v>
      </c>
      <c r="K538" s="157"/>
    </row>
    <row r="539" spans="1:21" s="58" customFormat="1" ht="14.4">
      <c r="A539" s="35"/>
      <c r="D539" s="138"/>
      <c r="E539" s="139"/>
      <c r="F539" s="132"/>
      <c r="G539" s="132"/>
      <c r="H539" s="175"/>
      <c r="I539" s="45"/>
      <c r="J539" s="45"/>
      <c r="K539" s="100"/>
    </row>
    <row r="540" spans="1:21" s="57" customFormat="1" ht="14.4">
      <c r="A540" s="54"/>
      <c r="D540" s="139"/>
      <c r="E540" s="144" t="str">
        <f>E$460</f>
        <v>Change in Return on RCV due to change in RCV - Water</v>
      </c>
      <c r="F540" s="145">
        <f t="shared" ref="F540:H540" si="119">F$460</f>
        <v>0</v>
      </c>
      <c r="G540" s="145" t="str">
        <f t="shared" si="119"/>
        <v>£m</v>
      </c>
      <c r="H540" s="85">
        <f t="shared" si="119"/>
        <v>51.988898921537356</v>
      </c>
      <c r="I540" s="45"/>
      <c r="J540" s="196"/>
      <c r="K540" s="94"/>
    </row>
    <row r="541" spans="1:21" s="57" customFormat="1" ht="14.4">
      <c r="A541" s="54"/>
      <c r="D541" s="139"/>
      <c r="E541" s="144" t="str">
        <f>E$533</f>
        <v>Change in Return on RCV due to change in RCV - Wastewater</v>
      </c>
      <c r="F541" s="145">
        <f t="shared" ref="F541:H541" si="120">F$533</f>
        <v>0</v>
      </c>
      <c r="G541" s="145" t="str">
        <f t="shared" si="120"/>
        <v>£m</v>
      </c>
      <c r="H541" s="85">
        <f t="shared" si="120"/>
        <v>23.358777738515954</v>
      </c>
      <c r="I541" s="45"/>
      <c r="J541" s="196"/>
      <c r="K541" s="94"/>
    </row>
    <row r="542" spans="1:21" s="120" customFormat="1" ht="12.75" customHeight="1">
      <c r="A542" s="25"/>
      <c r="B542" s="18"/>
      <c r="C542" s="19"/>
      <c r="D542" s="169"/>
      <c r="E542" s="296" t="s">
        <v>135</v>
      </c>
      <c r="F542" s="297"/>
      <c r="G542" s="297" t="s">
        <v>2</v>
      </c>
      <c r="H542" s="298">
        <f>SUM(H540:H541)</f>
        <v>75.34767666005331</v>
      </c>
      <c r="I542" s="45"/>
      <c r="J542" s="120" t="s">
        <v>502</v>
      </c>
      <c r="K542" s="157"/>
    </row>
    <row r="543" spans="1:21" s="120" customFormat="1" ht="12.75" customHeight="1">
      <c r="A543" s="25"/>
      <c r="B543" s="18"/>
      <c r="C543" s="19"/>
      <c r="D543" s="169"/>
      <c r="E543" s="139"/>
      <c r="F543" s="132"/>
      <c r="G543" s="132"/>
      <c r="H543" s="292"/>
      <c r="I543" s="45"/>
      <c r="K543" s="157"/>
    </row>
    <row r="544" spans="1:21" s="120" customFormat="1" ht="12.75" customHeight="1">
      <c r="A544" s="54"/>
      <c r="B544" s="11" t="s">
        <v>82</v>
      </c>
      <c r="C544" s="57"/>
      <c r="D544" s="139"/>
      <c r="E544" s="58"/>
      <c r="F544" s="96"/>
      <c r="G544" s="96"/>
      <c r="H544" s="188"/>
      <c r="I544" s="45"/>
      <c r="K544" s="157"/>
    </row>
    <row r="545" spans="1:11" s="120" customFormat="1" ht="12.75" customHeight="1">
      <c r="A545" s="25"/>
      <c r="B545" s="18"/>
      <c r="C545" s="19"/>
      <c r="D545" s="169" t="str">
        <f>D$436</f>
        <v>PR19</v>
      </c>
      <c r="E545" s="169" t="str">
        <f t="shared" ref="E545:H545" si="121">E$436</f>
        <v xml:space="preserve">Return on RCV - 2017/18 year average CPIH deflated - Water </v>
      </c>
      <c r="F545" s="231">
        <f t="shared" si="121"/>
        <v>0</v>
      </c>
      <c r="G545" s="231" t="str">
        <f t="shared" si="121"/>
        <v>£m</v>
      </c>
      <c r="H545" s="229">
        <f t="shared" si="121"/>
        <v>226.05451880061929</v>
      </c>
      <c r="I545" s="45"/>
      <c r="K545" s="157"/>
    </row>
    <row r="546" spans="1:11" s="120" customFormat="1" ht="12.75" customHeight="1">
      <c r="A546" s="25"/>
      <c r="B546" s="18"/>
      <c r="C546" s="19"/>
      <c r="D546" s="169" t="str">
        <f>D$412</f>
        <v>PR14</v>
      </c>
      <c r="E546" s="169" t="str">
        <f t="shared" ref="E546:H546" si="122">E$412</f>
        <v>Total Return on RCV - 201718 year average CPIH deflated - Water</v>
      </c>
      <c r="F546" s="231">
        <f t="shared" si="122"/>
        <v>0</v>
      </c>
      <c r="G546" s="231" t="str">
        <f t="shared" si="122"/>
        <v>£m</v>
      </c>
      <c r="H546" s="229">
        <f t="shared" si="122"/>
        <v>212.45526573219183</v>
      </c>
      <c r="I546" s="45"/>
      <c r="K546" s="157"/>
    </row>
    <row r="547" spans="1:11" s="120" customFormat="1" ht="12.75" customHeight="1">
      <c r="A547" s="25"/>
      <c r="B547" s="18"/>
      <c r="C547" s="19"/>
      <c r="D547" s="169"/>
      <c r="E547" s="160" t="str">
        <f>E$536</f>
        <v>Change in Return on RCV due to change in WACC - Water</v>
      </c>
      <c r="F547" s="384">
        <f t="shared" ref="F547:H547" si="123">F$536</f>
        <v>0</v>
      </c>
      <c r="G547" s="384" t="str">
        <f t="shared" si="123"/>
        <v>£m</v>
      </c>
      <c r="H547" s="142">
        <f t="shared" si="123"/>
        <v>-38.389645853109897</v>
      </c>
      <c r="I547" s="45"/>
      <c r="K547" s="157"/>
    </row>
    <row r="548" spans="1:11" s="120" customFormat="1" ht="12.75" customHeight="1">
      <c r="A548" s="25"/>
      <c r="B548" s="18"/>
      <c r="C548" s="19"/>
      <c r="D548" s="169"/>
      <c r="E548" s="160" t="str">
        <f>E$540</f>
        <v>Change in Return on RCV due to change in RCV - Water</v>
      </c>
      <c r="F548" s="384">
        <f t="shared" ref="F548:H548" si="124">F$540</f>
        <v>0</v>
      </c>
      <c r="G548" s="384" t="str">
        <f t="shared" si="124"/>
        <v>£m</v>
      </c>
      <c r="H548" s="142">
        <f t="shared" si="124"/>
        <v>51.988898921537356</v>
      </c>
      <c r="I548" s="45"/>
      <c r="K548" s="157"/>
    </row>
    <row r="549" spans="1:11" s="120" customFormat="1" ht="12.75" customHeight="1">
      <c r="A549" s="25"/>
      <c r="B549" s="18"/>
      <c r="C549" s="19"/>
      <c r="D549" s="169"/>
      <c r="E549" s="301" t="s">
        <v>148</v>
      </c>
      <c r="F549" s="145"/>
      <c r="G549" s="145" t="s">
        <v>351</v>
      </c>
      <c r="H549" s="300">
        <f>IF(ABS( (H545 - H546) - (H547 + H548) ) &gt;  InpC!$F$10, 1, 0)</f>
        <v>0</v>
      </c>
      <c r="I549" s="45"/>
      <c r="K549" s="157"/>
    </row>
    <row r="550" spans="1:11" s="120" customFormat="1" ht="12.75" customHeight="1">
      <c r="A550" s="25"/>
      <c r="B550" s="18"/>
      <c r="C550" s="19"/>
      <c r="D550" s="169"/>
      <c r="E550" s="301"/>
      <c r="F550" s="145"/>
      <c r="G550" s="145"/>
      <c r="H550" s="566"/>
      <c r="I550" s="45"/>
      <c r="K550" s="157"/>
    </row>
    <row r="551" spans="1:11" ht="12.75" customHeight="1">
      <c r="A551" s="25"/>
      <c r="B551" s="18"/>
      <c r="C551" s="19"/>
      <c r="D551" s="86"/>
      <c r="E551" s="110" t="str">
        <f>InpC!E$36</f>
        <v>Company type switch</v>
      </c>
      <c r="F551" s="412">
        <f>InpC!F$36</f>
        <v>0</v>
      </c>
      <c r="G551" s="110" t="str">
        <f>InpC!G$36</f>
        <v xml:space="preserve">0 = WaSC, 1 = WoC </v>
      </c>
      <c r="H551" s="110"/>
      <c r="J551" s="117"/>
      <c r="K551" s="83"/>
    </row>
    <row r="552" spans="1:11" s="120" customFormat="1" ht="12.75" customHeight="1">
      <c r="A552" s="25"/>
      <c r="B552" s="18"/>
      <c r="C552" s="19"/>
      <c r="D552" s="169" t="str">
        <f>D$504</f>
        <v>PR19</v>
      </c>
      <c r="E552" s="169" t="str">
        <f t="shared" ref="E552:H552" si="125">E$504</f>
        <v xml:space="preserve">Return on RCV - 2017/18 year average CPIH deflated - Wastewater </v>
      </c>
      <c r="F552" s="231">
        <f t="shared" si="125"/>
        <v>0</v>
      </c>
      <c r="G552" s="231" t="str">
        <f t="shared" si="125"/>
        <v>£m</v>
      </c>
      <c r="H552" s="229">
        <f t="shared" si="125"/>
        <v>222.52886038695831</v>
      </c>
      <c r="I552" s="45"/>
      <c r="K552" s="157"/>
    </row>
    <row r="553" spans="1:11" s="120" customFormat="1" ht="12.75" customHeight="1">
      <c r="A553" s="25"/>
      <c r="B553" s="18"/>
      <c r="C553" s="19"/>
      <c r="D553" s="169" t="str">
        <f>D$480</f>
        <v>PR14</v>
      </c>
      <c r="E553" s="169" t="str">
        <f t="shared" ref="E553:H553" si="126">E$480</f>
        <v>Total return on RCV - 201718 year average CPIH deflated - Wastewater</v>
      </c>
      <c r="F553" s="231">
        <f t="shared" si="126"/>
        <v>0</v>
      </c>
      <c r="G553" s="231" t="str">
        <f t="shared" si="126"/>
        <v>£m</v>
      </c>
      <c r="H553" s="229">
        <f t="shared" si="126"/>
        <v>243.65661907196048</v>
      </c>
      <c r="I553" s="45"/>
      <c r="K553" s="157"/>
    </row>
    <row r="554" spans="1:11" s="120" customFormat="1" ht="12.75" customHeight="1">
      <c r="A554" s="25"/>
      <c r="B554" s="18"/>
      <c r="C554" s="19"/>
      <c r="D554" s="169"/>
      <c r="E554" s="301" t="str">
        <f>E$537</f>
        <v>Change in Return on RCV due to change in WACC - Wastewater</v>
      </c>
      <c r="F554" s="384">
        <f t="shared" ref="F554:H554" si="127">F$537</f>
        <v>0</v>
      </c>
      <c r="G554" s="384" t="str">
        <f t="shared" si="127"/>
        <v>£m</v>
      </c>
      <c r="H554" s="142">
        <f t="shared" si="127"/>
        <v>-44.486536423518118</v>
      </c>
      <c r="I554" s="45"/>
      <c r="K554" s="157"/>
    </row>
    <row r="555" spans="1:11">
      <c r="A555" s="25"/>
      <c r="B555" s="18"/>
      <c r="C555" s="19"/>
      <c r="D555" s="169"/>
      <c r="E555" s="301" t="str">
        <f>E$541</f>
        <v>Change in Return on RCV due to change in RCV - Wastewater</v>
      </c>
      <c r="F555" s="384">
        <f t="shared" ref="F555:H555" si="128">F$541</f>
        <v>0</v>
      </c>
      <c r="G555" s="384" t="str">
        <f t="shared" si="128"/>
        <v>£m</v>
      </c>
      <c r="H555" s="142">
        <f t="shared" si="128"/>
        <v>23.358777738515954</v>
      </c>
    </row>
    <row r="556" spans="1:11">
      <c r="A556" s="25"/>
      <c r="B556" s="18"/>
      <c r="C556" s="19"/>
      <c r="D556" s="169"/>
      <c r="E556" s="301" t="s">
        <v>150</v>
      </c>
      <c r="F556" s="120"/>
      <c r="G556" s="145" t="s">
        <v>351</v>
      </c>
      <c r="H556" s="300">
        <f>IF(ABS( (H552 - H553) - (H554 + H555) ) &gt;  InpC!$F$10, 1, 0)  - $F551</f>
        <v>0</v>
      </c>
    </row>
    <row r="557" spans="1:11">
      <c r="A557" s="25"/>
      <c r="B557" s="18"/>
      <c r="C557" s="19"/>
      <c r="D557" s="169"/>
      <c r="E557" s="301"/>
      <c r="F557" s="120"/>
      <c r="G557" s="145"/>
      <c r="H557" s="45"/>
    </row>
    <row r="558" spans="1:11" s="75" customFormat="1">
      <c r="A558" s="38" t="s">
        <v>6</v>
      </c>
      <c r="B558" s="38"/>
      <c r="C558" s="39"/>
      <c r="D558" s="162"/>
      <c r="E558" s="39"/>
      <c r="F558" s="133"/>
      <c r="G558" s="153"/>
      <c r="H558" s="153"/>
      <c r="I558" s="153"/>
      <c r="J558" s="153"/>
    </row>
    <row r="560" spans="1:11">
      <c r="E560" s="6"/>
      <c r="F560" s="121"/>
      <c r="G560" s="121"/>
      <c r="H560" s="121"/>
    </row>
    <row r="561" spans="5:8">
      <c r="E561" s="6"/>
      <c r="F561" s="121"/>
      <c r="G561" s="121"/>
      <c r="H561" s="121"/>
    </row>
  </sheetData>
  <conditionalFormatting sqref="F1">
    <cfRule type="cellIs" dxfId="67" priority="95" stopIfTrue="1" operator="notEqual">
      <formula>0</formula>
    </cfRule>
    <cfRule type="cellIs" dxfId="66" priority="96" stopIfTrue="1" operator="equal">
      <formula>""</formula>
    </cfRule>
  </conditionalFormatting>
  <conditionalFormatting sqref="H383">
    <cfRule type="cellIs" dxfId="65" priority="87" stopIfTrue="1" operator="notEqual">
      <formula>0</formula>
    </cfRule>
    <cfRule type="cellIs" dxfId="64" priority="88" stopIfTrue="1" operator="equal">
      <formula>""</formula>
    </cfRule>
  </conditionalFormatting>
  <conditionalFormatting sqref="H390">
    <cfRule type="cellIs" dxfId="63" priority="85" stopIfTrue="1" operator="notEqual">
      <formula>0</formula>
    </cfRule>
    <cfRule type="cellIs" dxfId="62" priority="86" stopIfTrue="1" operator="equal">
      <formula>""</formula>
    </cfRule>
  </conditionalFormatting>
  <conditionalFormatting sqref="H556">
    <cfRule type="cellIs" dxfId="61" priority="79" stopIfTrue="1" operator="notEqual">
      <formula>0</formula>
    </cfRule>
    <cfRule type="cellIs" dxfId="60" priority="80" stopIfTrue="1" operator="equal">
      <formula>""</formula>
    </cfRule>
  </conditionalFormatting>
  <conditionalFormatting sqref="H549">
    <cfRule type="cellIs" dxfId="59" priority="77" stopIfTrue="1" operator="notEqual">
      <formula>0</formula>
    </cfRule>
    <cfRule type="cellIs" dxfId="58" priority="78" stopIfTrue="1" operator="equal">
      <formula>""</formula>
    </cfRule>
  </conditionalFormatting>
  <conditionalFormatting sqref="F2">
    <cfRule type="cellIs" dxfId="57" priority="1" stopIfTrue="1" operator="notEqual">
      <formula>0</formula>
    </cfRule>
    <cfRule type="cellIs" dxfId="56" priority="2" stopIfTrue="1" operator="equal">
      <formula>""</formula>
    </cfRule>
  </conditionalFormatting>
  <pageMargins left="0.70866141732283472" right="0.70866141732283472" top="0.74803149606299213" bottom="0.74803149606299213" header="0.31496062992125984" footer="0.31496062992125984"/>
  <pageSetup paperSize="9" scale="47" fitToHeight="0" orientation="portrait" r:id="rId1"/>
  <headerFooter>
    <oddHeader>&amp;LPage &amp;P of &amp;N&amp;CSheet:&amp;A</oddHeader>
    <oddFooter>&amp;L&amp;F ( Printed on &amp;D at &amp;T )&amp;ROFWAT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032D153FC8BFB438D82363EA992B2B9" ma:contentTypeVersion="13" ma:contentTypeDescription="Create a new document." ma:contentTypeScope="" ma:versionID="d68b78849d076001dbf306f9ab04e2cf">
  <xsd:schema xmlns:xsd="http://www.w3.org/2001/XMLSchema" xmlns:xs="http://www.w3.org/2001/XMLSchema" xmlns:p="http://schemas.microsoft.com/office/2006/metadata/properties" xmlns:ns3="81a5ad8a-d5fb-4012-8ca9-15e7cc009343" xmlns:ns4="9d9babbb-9d2f-4374-acef-4e32190ceeca" targetNamespace="http://schemas.microsoft.com/office/2006/metadata/properties" ma:root="true" ma:fieldsID="704af379f0ccd9877bac65a0a4ae46ac" ns3:_="" ns4:_="">
    <xsd:import namespace="81a5ad8a-d5fb-4012-8ca9-15e7cc009343"/>
    <xsd:import namespace="9d9babbb-9d2f-4374-acef-4e32190ceeca"/>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a5ad8a-d5fb-4012-8ca9-15e7cc0093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d9babbb-9d2f-4374-acef-4e32190ceec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813E9D-D2AC-45A3-8329-DC4E549D64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a5ad8a-d5fb-4012-8ca9-15e7cc009343"/>
    <ds:schemaRef ds:uri="9d9babbb-9d2f-4374-acef-4e32190cee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74EC404-94DF-41C0-864F-992062F32072}">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9d9babbb-9d2f-4374-acef-4e32190ceeca"/>
    <ds:schemaRef ds:uri="http://purl.org/dc/elements/1.1/"/>
    <ds:schemaRef ds:uri="81a5ad8a-d5fb-4012-8ca9-15e7cc009343"/>
    <ds:schemaRef ds:uri="http://www.w3.org/XML/1998/namespace"/>
    <ds:schemaRef ds:uri="http://purl.org/dc/dcmitype/"/>
  </ds:schemaRefs>
</ds:datastoreItem>
</file>

<file path=customXml/itemProps3.xml><?xml version="1.0" encoding="utf-8"?>
<ds:datastoreItem xmlns:ds="http://schemas.openxmlformats.org/officeDocument/2006/customXml" ds:itemID="{CB0C77D1-061D-43A4-B5A5-201F064DAD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20</vt:i4>
      </vt:variant>
      <vt:variant>
        <vt:lpstr>Charts</vt:lpstr>
      </vt:variant>
      <vt:variant>
        <vt:i4>1</vt:i4>
      </vt:variant>
      <vt:variant>
        <vt:lpstr>Named Ranges</vt:lpstr>
      </vt:variant>
      <vt:variant>
        <vt:i4>5</vt:i4>
      </vt:variant>
    </vt:vector>
  </HeadingPairs>
  <TitlesOfParts>
    <vt:vector size="26" baseType="lpstr">
      <vt:lpstr>Cover</vt:lpstr>
      <vt:lpstr>User Guide</vt:lpstr>
      <vt:lpstr>Map &amp; Key</vt:lpstr>
      <vt:lpstr>Model Design</vt:lpstr>
      <vt:lpstr>Inputs &gt;&gt;</vt:lpstr>
      <vt:lpstr>InpC</vt:lpstr>
      <vt:lpstr>InpAct</vt:lpstr>
      <vt:lpstr>Calcs &gt;&gt;</vt:lpstr>
      <vt:lpstr>RCV</vt:lpstr>
      <vt:lpstr>Totex</vt:lpstr>
      <vt:lpstr>Wholesale</vt:lpstr>
      <vt:lpstr>Reconciliation</vt:lpstr>
      <vt:lpstr>Retail</vt:lpstr>
      <vt:lpstr>Customers</vt:lpstr>
      <vt:lpstr>Summary_Calc</vt:lpstr>
      <vt:lpstr>Outputs &gt;&gt;</vt:lpstr>
      <vt:lpstr>GraphData</vt:lpstr>
      <vt:lpstr>QA &gt;&gt;</vt:lpstr>
      <vt:lpstr>Track</vt:lpstr>
      <vt:lpstr>Check</vt:lpstr>
      <vt:lpstr>Waterfall</vt:lpstr>
      <vt:lpstr>LIVE_RESULTS</vt:lpstr>
      <vt:lpstr>START_TRACK_STORE</vt:lpstr>
      <vt:lpstr>TRACK_ACTIVE</vt:lpstr>
      <vt:lpstr>TRACK_COMMENT_START</vt:lpstr>
      <vt:lpstr>TRK_COMMENT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Bill Movements Model</dc:title>
  <dc:subject>Track components causing changes in bills</dc:subject>
  <dc:creator>OFWAT</dc:creator>
  <cp:keywords>Bill Movement PR14 PR19</cp:keywords>
  <cp:lastModifiedBy>Sophie Molyneux</cp:lastModifiedBy>
  <cp:lastPrinted>2019-03-27T11:44:59Z</cp:lastPrinted>
  <dcterms:created xsi:type="dcterms:W3CDTF">2006-09-16T00:00:00Z</dcterms:created>
  <dcterms:modified xsi:type="dcterms:W3CDTF">2025-07-18T11:33:03Z</dcterms:modified>
  <cp:category>Analytics</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0x010100C032D153FC8BFB438D82363EA992B2B9</vt:lpwstr>
  </property>
  <property fmtid="{D5CDD505-2E9C-101B-9397-08002B2CF9AE}" pid="3" name="Security Classification">
    <vt:lpwstr>21;#OFFICIAL|c2540f30-f875-494b-a43f-ebfb5017a6ad</vt:lpwstr>
  </property>
  <property fmtid="{D5CDD505-2E9C-101B-9397-08002B2CF9AE}" pid="4" name="Meeting">
    <vt:lpwstr/>
  </property>
  <property fmtid="{D5CDD505-2E9C-101B-9397-08002B2CF9AE}" pid="5" name="Stakeholder 4">
    <vt:lpwstr/>
  </property>
  <property fmtid="{D5CDD505-2E9C-101B-9397-08002B2CF9AE}" pid="6" name="Stakeholder 2">
    <vt:lpwstr/>
  </property>
  <property fmtid="{D5CDD505-2E9C-101B-9397-08002B2CF9AE}" pid="7" name="Hierarchy">
    <vt:lpwstr/>
  </property>
  <property fmtid="{D5CDD505-2E9C-101B-9397-08002B2CF9AE}" pid="8" name="Collection">
    <vt:lpwstr/>
  </property>
  <property fmtid="{D5CDD505-2E9C-101B-9397-08002B2CF9AE}" pid="9" name="Stakeholder 5">
    <vt:lpwstr/>
  </property>
  <property fmtid="{D5CDD505-2E9C-101B-9397-08002B2CF9AE}" pid="10" name="Project Code">
    <vt:lpwstr>154;#Coordination|cf2285b3-3c28-4fbc-98a3-e827d761f1f3</vt:lpwstr>
  </property>
  <property fmtid="{D5CDD505-2E9C-101B-9397-08002B2CF9AE}" pid="11" name="Stakeholder 3">
    <vt:lpwstr/>
  </property>
  <property fmtid="{D5CDD505-2E9C-101B-9397-08002B2CF9AE}" pid="12" name="Stakeholder">
    <vt:lpwstr/>
  </property>
  <property fmtid="{D5CDD505-2E9C-101B-9397-08002B2CF9AE}" pid="13" name="AuthorIds_UIVersion_1024">
    <vt:lpwstr>2890</vt:lpwstr>
  </property>
  <property fmtid="{D5CDD505-2E9C-101B-9397-08002B2CF9AE}" pid="14" name="AuthorIds_UIVersion_512">
    <vt:lpwstr>2890</vt:lpwstr>
  </property>
  <property fmtid="{D5CDD505-2E9C-101B-9397-08002B2CF9AE}" pid="15" name="AuthorIds_UIVersion_2048">
    <vt:lpwstr>2890</vt:lpwstr>
  </property>
  <property fmtid="{D5CDD505-2E9C-101B-9397-08002B2CF9AE}" pid="16" name="AuthorIds_UIVersion_2560">
    <vt:lpwstr>2890</vt:lpwstr>
  </property>
  <property fmtid="{D5CDD505-2E9C-101B-9397-08002B2CF9AE}" pid="17" name="Order">
    <vt:r8>633600</vt:r8>
  </property>
  <property fmtid="{D5CDD505-2E9C-101B-9397-08002B2CF9AE}" pid="18" name="xd_Signature">
    <vt:bool>false</vt:bool>
  </property>
  <property fmtid="{D5CDD505-2E9C-101B-9397-08002B2CF9AE}" pid="19" name="xd_ProgID">
    <vt:lpwstr/>
  </property>
  <property fmtid="{D5CDD505-2E9C-101B-9397-08002B2CF9AE}" pid="20" name="_SourceUrl">
    <vt:lpwstr/>
  </property>
  <property fmtid="{D5CDD505-2E9C-101B-9397-08002B2CF9AE}" pid="21" name="_SharedFileIndex">
    <vt:lpwstr/>
  </property>
  <property fmtid="{D5CDD505-2E9C-101B-9397-08002B2CF9AE}" pid="22" name="ComplianceAssetId">
    <vt:lpwstr/>
  </property>
  <property fmtid="{D5CDD505-2E9C-101B-9397-08002B2CF9AE}" pid="23" name="TemplateUrl">
    <vt:lpwstr/>
  </property>
  <property fmtid="{D5CDD505-2E9C-101B-9397-08002B2CF9AE}" pid="24" name="Document Status">
    <vt:lpwstr>Submitted</vt:lpwstr>
  </property>
  <property fmtid="{D5CDD505-2E9C-101B-9397-08002B2CF9AE}" pid="25" name="Submission type">
    <vt:lpwstr>Ofwat submission</vt:lpwstr>
  </property>
  <property fmtid="{D5CDD505-2E9C-101B-9397-08002B2CF9AE}" pid="26" name="Date">
    <vt:filetime>2019-03-31T23:00:00Z</vt:filetime>
  </property>
  <property fmtid="{D5CDD505-2E9C-101B-9397-08002B2CF9AE}" pid="27" name="Draft Status">
    <vt:lpwstr>Submitted</vt:lpwstr>
  </property>
  <property fmtid="{D5CDD505-2E9C-101B-9397-08002B2CF9AE}" pid="28" name="Document Type">
    <vt:lpwstr>Models</vt:lpwstr>
  </property>
  <property fmtid="{D5CDD505-2E9C-101B-9397-08002B2CF9AE}" pid="29" name="Category">
    <vt:lpwstr>Apr19 BP - Submission to Ofwat</vt:lpwstr>
  </property>
</Properties>
</file>