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CFF2" lockStructure="1"/>
  <bookViews>
    <workbookView xWindow="0" yWindow="0" windowWidth="20730" windowHeight="11760"/>
  </bookViews>
  <sheets>
    <sheet name="Front" sheetId="1" r:id="rId1"/>
    <sheet name="Water" sheetId="3" state="hidden" r:id="rId2"/>
    <sheet name="Waste" sheetId="2" state="hidden" r:id="rId3"/>
  </sheets>
  <definedNames>
    <definedName name="METER">Waste!$H$2:$Y$17</definedName>
    <definedName name="MISC">Water!$H$16:$I$21</definedName>
    <definedName name="SSSCO">Waste!$B$2:$F$63</definedName>
    <definedName name="UWPipe">Water!$H$2:$M$12</definedName>
    <definedName name="WSSCO">Water!$B$2:$F$36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3" i="1"/>
  <c r="Y4" i="2" l="1"/>
  <c r="X4" i="2"/>
  <c r="W4" i="2"/>
  <c r="U4" i="2"/>
  <c r="T4" i="2"/>
  <c r="S4" i="2"/>
  <c r="R4" i="2"/>
  <c r="Q4" i="2"/>
  <c r="P4" i="2"/>
  <c r="U3" i="1" l="1"/>
  <c r="T3" i="1"/>
  <c r="T4" i="1" l="1"/>
  <c r="T5" i="1"/>
  <c r="T6" i="1"/>
  <c r="T7" i="1"/>
  <c r="T8" i="1"/>
  <c r="T9" i="1"/>
  <c r="T10" i="1"/>
  <c r="T11" i="1"/>
  <c r="T12" i="1"/>
  <c r="T13" i="1"/>
  <c r="T14" i="1"/>
  <c r="T15" i="1"/>
  <c r="T16" i="1"/>
  <c r="T17" i="1"/>
  <c r="T18" i="1"/>
  <c r="T19" i="1"/>
  <c r="T20" i="1"/>
  <c r="T21" i="1"/>
  <c r="T22" i="1"/>
  <c r="T23" i="1"/>
  <c r="T24" i="1"/>
  <c r="T25" i="1"/>
  <c r="T26" i="1"/>
  <c r="C28" i="1" l="1"/>
  <c r="E19" i="1" l="1"/>
  <c r="C25" i="1" l="1"/>
  <c r="E11" i="1"/>
  <c r="E14" i="1"/>
  <c r="E15" i="1"/>
  <c r="E16" i="1"/>
  <c r="E17" i="1"/>
  <c r="E13" i="1"/>
  <c r="U4" i="1"/>
  <c r="U6" i="1"/>
  <c r="U7" i="1"/>
  <c r="U8" i="1"/>
  <c r="U9" i="1"/>
  <c r="U10" i="1"/>
  <c r="U11" i="1"/>
  <c r="U12" i="1"/>
  <c r="U13" i="1"/>
  <c r="U14" i="1"/>
  <c r="U15" i="1"/>
  <c r="U16" i="1"/>
  <c r="U17" i="1"/>
  <c r="U18" i="1"/>
  <c r="U19" i="1"/>
  <c r="U20" i="1"/>
  <c r="U21" i="1"/>
  <c r="U22" i="1"/>
  <c r="U23" i="1"/>
  <c r="U24" i="1"/>
  <c r="U25" i="1"/>
  <c r="U26" i="1"/>
  <c r="U5" i="1"/>
  <c r="K4" i="3"/>
  <c r="M4" i="3"/>
  <c r="L4" i="3"/>
  <c r="C24" i="1"/>
  <c r="C32" i="1"/>
  <c r="C21" i="1"/>
  <c r="C33" i="1" l="1"/>
  <c r="B33" i="1"/>
  <c r="B31" i="1"/>
  <c r="B32" i="1"/>
  <c r="B29" i="1"/>
  <c r="B28" i="1"/>
  <c r="B27" i="1"/>
  <c r="B10" i="1"/>
  <c r="B19" i="1"/>
  <c r="B25" i="1"/>
  <c r="B24" i="1"/>
  <c r="B22" i="1"/>
  <c r="B21" i="1"/>
  <c r="B7" i="1"/>
  <c r="B16" i="1"/>
  <c r="B17" i="1"/>
  <c r="B13" i="1"/>
  <c r="B15" i="1"/>
  <c r="B14" i="1"/>
  <c r="B8" i="1"/>
  <c r="B11" i="1"/>
  <c r="B2" i="1"/>
  <c r="B5" i="1" s="1"/>
  <c r="C29" i="1"/>
  <c r="C22" i="1" l="1"/>
  <c r="E36" i="1" l="1"/>
  <c r="E35" i="1" l="1"/>
  <c r="C31" i="1" l="1"/>
  <c r="C27" i="1"/>
  <c r="C35" i="1" s="1"/>
  <c r="C36" i="1" l="1"/>
  <c r="C37" i="1" s="1"/>
</calcChain>
</file>

<file path=xl/sharedStrings.xml><?xml version="1.0" encoding="utf-8"?>
<sst xmlns="http://schemas.openxmlformats.org/spreadsheetml/2006/main" count="374" uniqueCount="179">
  <si>
    <t>Tariff Code</t>
  </si>
  <si>
    <t>Insert Tariff Code From:</t>
  </si>
  <si>
    <t>SPID -&gt; Service Component Data</t>
  </si>
  <si>
    <t/>
  </si>
  <si>
    <t>Total Charge Per Year</t>
  </si>
  <si>
    <t>Metered</t>
  </si>
  <si>
    <t>Water Tariff Code</t>
  </si>
  <si>
    <t>Sewerage Tariff Code</t>
  </si>
  <si>
    <t>Meters</t>
  </si>
  <si>
    <t>NHHMPW1</t>
  </si>
  <si>
    <t>NHHMS1F</t>
  </si>
  <si>
    <t>Volumetric Charge (£/m3)</t>
  </si>
  <si>
    <t>Supplementary Large User Charge (£/annum)</t>
  </si>
  <si>
    <t>Fixed Charges (£/Annum)</t>
  </si>
  <si>
    <t>Full Value</t>
  </si>
  <si>
    <t>Abated Value</t>
  </si>
  <si>
    <t>NHHASNCHG</t>
  </si>
  <si>
    <t>None</t>
  </si>
  <si>
    <t>∞</t>
  </si>
  <si>
    <t>NHHMS1A</t>
  </si>
  <si>
    <t>NHHMS2F</t>
  </si>
  <si>
    <t>NHHMS2A</t>
  </si>
  <si>
    <t>NHHMS3F</t>
  </si>
  <si>
    <t>NHHMS3A</t>
  </si>
  <si>
    <t>NHHMS4F</t>
  </si>
  <si>
    <t>NHHMS4A</t>
  </si>
  <si>
    <t>NHHMS5F</t>
  </si>
  <si>
    <t>NHHMS8A</t>
  </si>
  <si>
    <t>NHHMS8F</t>
  </si>
  <si>
    <t>NHHMS7A</t>
  </si>
  <si>
    <t>NHHMS7F</t>
  </si>
  <si>
    <t>NHHMS6A</t>
  </si>
  <si>
    <t>NHHMS6F</t>
  </si>
  <si>
    <t>NHHMS5A</t>
  </si>
  <si>
    <t>RTS</t>
  </si>
  <si>
    <t>WCMS</t>
  </si>
  <si>
    <t>SCMS</t>
  </si>
  <si>
    <t>NHHMS7FSAT</t>
  </si>
  <si>
    <t>NHHMS7ASAT</t>
  </si>
  <si>
    <t>NHHMS8FSAT</t>
  </si>
  <si>
    <t>NHHMS8ASAT</t>
  </si>
  <si>
    <t>NHHMPW2</t>
  </si>
  <si>
    <t>NHHMPW3</t>
  </si>
  <si>
    <t>NHHMPW4</t>
  </si>
  <si>
    <t>NHHMPW5</t>
  </si>
  <si>
    <t>NHHMPW6</t>
  </si>
  <si>
    <t>NHHMPW7</t>
  </si>
  <si>
    <t>NHHMPW7SAT</t>
  </si>
  <si>
    <t>NHHMPW5SAT</t>
  </si>
  <si>
    <t>NHHMPW6SAT</t>
  </si>
  <si>
    <t>NHHMPWNCHG</t>
  </si>
  <si>
    <t>Water Charge</t>
  </si>
  <si>
    <t>Waste Charge</t>
  </si>
  <si>
    <t>Meter Treatment</t>
  </si>
  <si>
    <t>Sewerage Volume</t>
  </si>
  <si>
    <t>Sewerage Charge</t>
  </si>
  <si>
    <t>Meter 01</t>
  </si>
  <si>
    <t>Meter 02</t>
  </si>
  <si>
    <t>Meter 03</t>
  </si>
  <si>
    <t>Meter 04</t>
  </si>
  <si>
    <t>Meter 05</t>
  </si>
  <si>
    <t>Meter 06</t>
  </si>
  <si>
    <t>Meter 07</t>
  </si>
  <si>
    <t>Meter 08</t>
  </si>
  <si>
    <t>Meter 09</t>
  </si>
  <si>
    <t>Meter 10</t>
  </si>
  <si>
    <t>Meter 11</t>
  </si>
  <si>
    <t>Meter 12</t>
  </si>
  <si>
    <t>Meter 13</t>
  </si>
  <si>
    <t>Meter 14</t>
  </si>
  <si>
    <t>Meter 15</t>
  </si>
  <si>
    <t>Meter 16</t>
  </si>
  <si>
    <t>Meter 17</t>
  </si>
  <si>
    <t>Meter 18</t>
  </si>
  <si>
    <t>Meter 19</t>
  </si>
  <si>
    <t>Meter 20</t>
  </si>
  <si>
    <t>Meter 21</t>
  </si>
  <si>
    <t>Meter 22</t>
  </si>
  <si>
    <t>Meter 23</t>
  </si>
  <si>
    <t>Meter 24</t>
  </si>
  <si>
    <t>Insert Number of Meters And Fill In Table To The Right: Columns H:L</t>
  </si>
  <si>
    <t>Expected Annual Volume</t>
  </si>
  <si>
    <t>NHHAW1</t>
  </si>
  <si>
    <t>STOP</t>
  </si>
  <si>
    <t>NHHAW2</t>
  </si>
  <si>
    <t>NHHAW3</t>
  </si>
  <si>
    <t>NHHAW4</t>
  </si>
  <si>
    <t>NHHAWNCHG</t>
  </si>
  <si>
    <t>NHHUW1</t>
  </si>
  <si>
    <t>NHHUW2</t>
  </si>
  <si>
    <t>NHHUW3</t>
  </si>
  <si>
    <t>NHHUW4</t>
  </si>
  <si>
    <t>NHHUW5</t>
  </si>
  <si>
    <t>NHHUW6</t>
  </si>
  <si>
    <t>NHHUW7</t>
  </si>
  <si>
    <t>NHHUW4_12PIPES_10MM</t>
  </si>
  <si>
    <t>NHHUW5_67PIPES_10MM</t>
  </si>
  <si>
    <t>NHHUW6_02PIPES_10MM</t>
  </si>
  <si>
    <t>NHHUW7_02PIPES_10MM</t>
  </si>
  <si>
    <t>NHHUWNCHG</t>
  </si>
  <si>
    <t>NHHUWSUN</t>
  </si>
  <si>
    <t>NHHUS7F</t>
  </si>
  <si>
    <t>Service Component Type</t>
  </si>
  <si>
    <t>Assessed</t>
  </si>
  <si>
    <t>Unmeasured</t>
  </si>
  <si>
    <t>UW</t>
  </si>
  <si>
    <t>UW12</t>
  </si>
  <si>
    <t>UW67</t>
  </si>
  <si>
    <t>UW02</t>
  </si>
  <si>
    <t>Water Chargeable Meter Size Min</t>
  </si>
  <si>
    <t>Water Chargeable Meter Size Max</t>
  </si>
  <si>
    <t>Item</t>
  </si>
  <si>
    <t>Price</t>
  </si>
  <si>
    <t>A</t>
  </si>
  <si>
    <t>B</t>
  </si>
  <si>
    <t>C</t>
  </si>
  <si>
    <t>D</t>
  </si>
  <si>
    <t>E</t>
  </si>
  <si>
    <t>NHHAS1A</t>
  </si>
  <si>
    <t>NHHAS1F</t>
  </si>
  <si>
    <t>NHHAS2A</t>
  </si>
  <si>
    <t>NHHAS2F</t>
  </si>
  <si>
    <t>NHHAS3A</t>
  </si>
  <si>
    <t>NHHAS3F</t>
  </si>
  <si>
    <t>NHHAS4A</t>
  </si>
  <si>
    <t>NHHAS4F</t>
  </si>
  <si>
    <t>NHHASF_02PIPES</t>
  </si>
  <si>
    <t>NHHASF_03PIPES</t>
  </si>
  <si>
    <t>NHHASF_04PIPES</t>
  </si>
  <si>
    <t>NHHASF_06PIPES</t>
  </si>
  <si>
    <t>NHHASF_10PIPES</t>
  </si>
  <si>
    <t>NHHASF_12PIPES</t>
  </si>
  <si>
    <t>NHHSAMS7A</t>
  </si>
  <si>
    <t>NHHSAMS8A</t>
  </si>
  <si>
    <t>NHHSAMNPW1</t>
  </si>
  <si>
    <t>NHHSAMNPW2</t>
  </si>
  <si>
    <t>NHHSAMNPW3</t>
  </si>
  <si>
    <t>NHHSAMNPW4</t>
  </si>
  <si>
    <t>NHHSAMNPW5</t>
  </si>
  <si>
    <t>NHHUS1A</t>
  </si>
  <si>
    <t>NHHUS1F</t>
  </si>
  <si>
    <t>NHHUS2A</t>
  </si>
  <si>
    <t>NHHUS2F</t>
  </si>
  <si>
    <t>NHHUS3A</t>
  </si>
  <si>
    <t>NHHUS3F</t>
  </si>
  <si>
    <t>NHHUS4A</t>
  </si>
  <si>
    <t>NHHUS4F</t>
  </si>
  <si>
    <t>NHHUS4F_12PIPES_10MM</t>
  </si>
  <si>
    <t>NHHUS5A</t>
  </si>
  <si>
    <t>NHHUS5F</t>
  </si>
  <si>
    <t>NHHUS5F_67PIPES_10MM</t>
  </si>
  <si>
    <t>NHHUS6A</t>
  </si>
  <si>
    <t>NHHUS6F</t>
  </si>
  <si>
    <t>NHHUS6F_02PIPES_10MM</t>
  </si>
  <si>
    <t>NHHUS7A</t>
  </si>
  <si>
    <t>NHHUS7F_02PIPES_10MM</t>
  </si>
  <si>
    <t>NHHUSDOF</t>
  </si>
  <si>
    <t>NHHUSNCHG</t>
  </si>
  <si>
    <t>NHHUSSUN</t>
  </si>
  <si>
    <t>DOF</t>
  </si>
  <si>
    <t>Size Min</t>
  </si>
  <si>
    <t>Size Max</t>
  </si>
  <si>
    <t>ASF</t>
  </si>
  <si>
    <t>ASA</t>
  </si>
  <si>
    <t>USF</t>
  </si>
  <si>
    <t>USA</t>
  </si>
  <si>
    <t>AS2</t>
  </si>
  <si>
    <t>AS3</t>
  </si>
  <si>
    <t>AS4</t>
  </si>
  <si>
    <t>AS6</t>
  </si>
  <si>
    <t>AS10</t>
  </si>
  <si>
    <t>AS12</t>
  </si>
  <si>
    <t>US2</t>
  </si>
  <si>
    <t>US12</t>
  </si>
  <si>
    <t>US67</t>
  </si>
  <si>
    <t>Item Count</t>
  </si>
  <si>
    <t>MDVOL (SVAM: SUBTRACT, PRIVATETE ONLY)</t>
  </si>
  <si>
    <t>This spreadsheet is provided for information purposes only, and Thames Water Utilities Limited accepts no liability for the accuracy of its contents, or for any results obtained from its use. Results are dependent on the accuracy of the information input. While every attempt is made to ensure that this spreadsheet is up to date, you are advised  to refer to the latest version of the Thames Water Wholesale Tariff Document or to contact Thames Water directly if you have any doubts. This spreadsheet is provided ‘as-is’ without any warranty as to the ownership of or any rights over the contents.</t>
  </si>
  <si>
    <t>NHHMSNCHG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</si>
</sst>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000_ ;\-#,##0.0000\ "/>
    <numFmt numFmtId="165" formatCode="_-[$£-809]* #,##0.00_-;\-[$£-809]* #,##0.00_-;_-[$£-809]* &quot;-&quot;??_-;_-@_-"/>
    <numFmt numFmtId="166" formatCode="_-* #,##0.0000_-;\-* #,##0.0000_-;_-* &quot;-&quot;??_-;_-@_-"/>
    <numFmt numFmtId="167" formatCode="#,##0.0000"/>
  </numFmts>
  <fonts count="9" x14ac:knownFonts="1">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b/>
      <sz val="11"/>
      <color theme="1"/>
      <name val="Calibri"/>
      <family val="2"/>
      <scheme val="minor"/>
    </font>
    <font>
      <sz val="11"/>
      <color theme="0"/>
      <name val="Calibri"/>
      <family val="2"/>
      <scheme val="minor"/>
    </font>
    <font>
      <sz val="11"/>
      <name val="Calibri"/>
      <family val="2"/>
      <scheme val="minor"/>
    </font>
    <font>
      <i/>
      <sz val="10"/>
      <color rgb="FF1F497D"/>
      <name val="Tahoma"/>
      <family val="2"/>
    </font>
    <font>
      <b/>
      <sz val="11"/>
      <color theme="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indexed="22"/>
        <bgColor indexed="0"/>
      </patternFill>
    </fill>
    <fill>
      <patternFill patternType="solid">
        <fgColor rgb="FF00B0F0"/>
        <bgColor indexed="64"/>
      </patternFill>
    </fill>
    <fill>
      <patternFill patternType="solid">
        <fgColor theme="0"/>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top style="thin">
        <color indexed="64"/>
      </top>
      <bottom style="medium">
        <color indexed="64"/>
      </bottom>
      <diagonal/>
    </border>
  </borders>
  <cellStyleXfs count="5">
    <xf numFmtId="0" fontId="0" fillId="0" borderId="0" applyNumberFormat="0" applyFont="0" applyFill="0" applyBorder="0" applyAlignment="0">
      <protection locked="0"/>
    </xf>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cellStyleXfs>
  <cellXfs count="43">
    <xf numFmtId="0" fontId="0" fillId="0" borderId="0" xfId="0">
      <protection locked="0"/>
    </xf>
    <xf numFmtId="0" fontId="0" fillId="0" borderId="0" xfId="0" applyProtection="1">
      <protection hidden="1"/>
    </xf>
    <xf numFmtId="0" fontId="0" fillId="0" borderId="0" xfId="0" applyProtection="1">
      <protection locked="0"/>
    </xf>
    <xf numFmtId="0" fontId="3" fillId="0" borderId="1" xfId="3" applyFont="1" applyFill="1" applyBorder="1" applyAlignment="1" applyProtection="1"/>
    <xf numFmtId="0" fontId="0" fillId="0" borderId="0" xfId="0" applyAlignment="1" applyProtection="1"/>
    <xf numFmtId="166" fontId="0" fillId="0" borderId="0" xfId="1" applyNumberFormat="1" applyFont="1" applyAlignment="1" applyProtection="1"/>
    <xf numFmtId="43" fontId="0" fillId="0" borderId="0" xfId="1" applyNumberFormat="1" applyFont="1" applyAlignment="1" applyProtection="1"/>
    <xf numFmtId="43" fontId="3" fillId="0" borderId="1" xfId="1" applyFont="1" applyFill="1" applyBorder="1" applyAlignment="1">
      <alignment horizontal="right"/>
    </xf>
    <xf numFmtId="0" fontId="3" fillId="3" borderId="2" xfId="3" applyFont="1" applyFill="1" applyBorder="1" applyAlignment="1">
      <alignment horizontal="center"/>
    </xf>
    <xf numFmtId="0" fontId="3" fillId="0" borderId="1" xfId="3" applyFont="1" applyFill="1" applyBorder="1" applyAlignment="1">
      <alignment horizontal="right" wrapText="1"/>
    </xf>
    <xf numFmtId="0" fontId="3" fillId="0" borderId="1" xfId="4" applyFont="1" applyFill="1" applyBorder="1" applyAlignment="1"/>
    <xf numFmtId="0" fontId="0" fillId="0" borderId="0" xfId="0" applyFill="1" applyBorder="1" applyAlignment="1" applyProtection="1"/>
    <xf numFmtId="0" fontId="3" fillId="0" borderId="1" xfId="3" applyFont="1" applyFill="1" applyBorder="1" applyAlignment="1">
      <alignment horizontal="left" wrapText="1"/>
    </xf>
    <xf numFmtId="166" fontId="3" fillId="0" borderId="1" xfId="1" applyNumberFormat="1" applyFont="1" applyFill="1" applyBorder="1" applyAlignment="1">
      <alignment horizontal="right"/>
    </xf>
    <xf numFmtId="166" fontId="0" fillId="0" borderId="0" xfId="1" applyNumberFormat="1" applyFont="1"/>
    <xf numFmtId="0" fontId="6" fillId="0" borderId="0" xfId="0" applyFont="1" applyProtection="1">
      <protection hidden="1"/>
    </xf>
    <xf numFmtId="0" fontId="5" fillId="0" borderId="0" xfId="0" applyFont="1" applyProtection="1">
      <protection hidden="1"/>
    </xf>
    <xf numFmtId="0" fontId="0" fillId="0" borderId="0" xfId="0" applyFill="1" applyProtection="1">
      <protection hidden="1"/>
    </xf>
    <xf numFmtId="0" fontId="5" fillId="0" borderId="0" xfId="0" applyFont="1" applyFill="1" applyProtection="1">
      <protection hidden="1"/>
    </xf>
    <xf numFmtId="0" fontId="4" fillId="0" borderId="3" xfId="0" applyFont="1" applyBorder="1" applyProtection="1">
      <protection hidden="1"/>
    </xf>
    <xf numFmtId="0" fontId="0" fillId="0" borderId="0" xfId="0" applyProtection="1"/>
    <xf numFmtId="0" fontId="0" fillId="0" borderId="0" xfId="0">
      <protection locked="0"/>
    </xf>
    <xf numFmtId="0" fontId="0" fillId="0" borderId="0" xfId="0">
      <protection locked="0"/>
    </xf>
    <xf numFmtId="0" fontId="8" fillId="4" borderId="0" xfId="0" applyFont="1" applyFill="1" applyBorder="1" applyProtection="1">
      <protection hidden="1"/>
    </xf>
    <xf numFmtId="0" fontId="8" fillId="4" borderId="0" xfId="0" applyFont="1" applyFill="1" applyBorder="1" applyAlignment="1" applyProtection="1">
      <alignment horizontal="center"/>
      <protection hidden="1"/>
    </xf>
    <xf numFmtId="0" fontId="8" fillId="5" borderId="0" xfId="0" applyFont="1" applyFill="1" applyProtection="1">
      <protection hidden="1"/>
    </xf>
    <xf numFmtId="0" fontId="0" fillId="2" borderId="0" xfId="0" applyFill="1" applyProtection="1">
      <protection locked="0"/>
    </xf>
    <xf numFmtId="0" fontId="7" fillId="0" borderId="0" xfId="0" applyFont="1" applyAlignment="1" applyProtection="1">
      <alignment wrapText="1"/>
      <protection hidden="1"/>
    </xf>
    <xf numFmtId="0" fontId="8" fillId="4" borderId="0" xfId="0" applyFont="1" applyFill="1" applyBorder="1" applyAlignment="1" applyProtection="1">
      <alignment horizontal="center"/>
      <protection hidden="1"/>
    </xf>
    <xf numFmtId="0" fontId="0" fillId="2" borderId="0" xfId="0" applyFill="1" applyProtection="1">
      <protection locked="0" hidden="1"/>
    </xf>
    <xf numFmtId="0" fontId="0" fillId="0" borderId="0" xfId="0">
      <protection locked="0"/>
    </xf>
    <xf numFmtId="0" fontId="0" fillId="0" borderId="0" xfId="0" applyBorder="1" applyProtection="1"/>
    <xf numFmtId="165" fontId="4" fillId="0" borderId="3" xfId="0" applyNumberFormat="1" applyFont="1" applyBorder="1" applyProtection="1">
      <protection hidden="1"/>
    </xf>
    <xf numFmtId="0" fontId="0" fillId="0" borderId="0" xfId="0" applyProtection="1">
      <protection hidden="1"/>
    </xf>
    <xf numFmtId="164" fontId="0" fillId="0" borderId="0" xfId="2" applyNumberFormat="1" applyFont="1" applyProtection="1">
      <protection hidden="1"/>
    </xf>
    <xf numFmtId="0" fontId="6" fillId="2" borderId="0" xfId="0" applyFont="1" applyFill="1" applyProtection="1">
      <protection locked="0" hidden="1"/>
    </xf>
    <xf numFmtId="44" fontId="0" fillId="0" borderId="0" xfId="0" applyNumberFormat="1" applyProtection="1">
      <protection hidden="1"/>
    </xf>
    <xf numFmtId="44" fontId="0" fillId="0" borderId="0" xfId="2" applyFont="1" applyProtection="1">
      <protection hidden="1"/>
    </xf>
    <xf numFmtId="3" fontId="0" fillId="0" borderId="0" xfId="0" applyNumberFormat="1" applyProtection="1">
      <protection hidden="1"/>
    </xf>
    <xf numFmtId="167" fontId="0" fillId="0" borderId="0" xfId="0" applyNumberFormat="1" applyProtection="1">
      <protection hidden="1"/>
    </xf>
    <xf numFmtId="0" fontId="6" fillId="0" borderId="0" xfId="0" applyFont="1" applyProtection="1">
      <protection hidden="1"/>
    </xf>
    <xf numFmtId="0" fontId="8" fillId="4" borderId="0" xfId="0" applyFont="1" applyFill="1" applyBorder="1" applyAlignment="1" applyProtection="1">
      <alignment horizontal="center" vertical="center" wrapText="1"/>
      <protection hidden="1"/>
    </xf>
    <xf numFmtId="0" fontId="0" fillId="0" borderId="0" xfId="0" applyAlignment="1" applyProtection="1">
      <alignment horizontal="left"/>
      <protection hidden="1"/>
    </xf>
  </cellXfs>
  <cellStyles count="5">
    <cellStyle name="Comma" xfId="1" builtinId="3"/>
    <cellStyle name="Currency" xfId="2" builtinId="4"/>
    <cellStyle name="Normal" xfId="0" builtinId="0" customBuiltin="1"/>
    <cellStyle name="Normal_Sheet2" xfId="3"/>
    <cellStyle name="Normal_Sheet2_1" xfId="4"/>
  </cellStyles>
  <dxfs count="7">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47626</xdr:rowOff>
    </xdr:from>
    <xdr:to>
      <xdr:col>0</xdr:col>
      <xdr:colOff>914400</xdr:colOff>
      <xdr:row>0</xdr:row>
      <xdr:rowOff>914400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47626"/>
          <a:ext cx="866774" cy="8667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showRowColHeaders="0" tabSelected="1" zoomScaleNormal="100" workbookViewId="0">
      <selection activeCell="C2" sqref="C2:D2"/>
    </sheetView>
  </sheetViews>
  <sheetFormatPr defaultRowHeight="15" x14ac:dyDescent="0.25"/>
  <cols>
    <col min="1" max="1" width="14.28515625" customWidth="1"/>
    <col min="2" max="2" width="31.85546875" bestFit="1" customWidth="1"/>
    <col min="3" max="3" width="9.7109375" customWidth="1"/>
    <col min="4" max="4" width="8.28515625" customWidth="1"/>
    <col min="5" max="5" width="22.42578125" customWidth="1"/>
    <col min="6" max="6" width="35.28515625" customWidth="1"/>
    <col min="9" max="10" width="10.5703125" customWidth="1"/>
    <col min="11" max="11" width="29.85546875" customWidth="1"/>
    <col min="12" max="12" width="7.5703125" customWidth="1"/>
    <col min="13" max="18" width="3.5703125" customWidth="1"/>
    <col min="19" max="19" width="7.140625" hidden="1" customWidth="1"/>
    <col min="20" max="20" width="15.7109375" hidden="1" customWidth="1"/>
    <col min="21" max="21" width="15.140625" hidden="1" customWidth="1"/>
  </cols>
  <sheetData>
    <row r="1" spans="1:26" ht="75" customHeight="1" x14ac:dyDescent="0.25">
      <c r="A1" s="20"/>
      <c r="B1" s="20"/>
      <c r="C1" s="30"/>
      <c r="D1" s="30"/>
      <c r="H1" s="22"/>
      <c r="I1" s="22"/>
      <c r="J1" s="22"/>
      <c r="K1" s="22"/>
      <c r="L1" s="22"/>
      <c r="M1" s="22"/>
      <c r="N1" s="22"/>
      <c r="O1" s="22"/>
      <c r="P1" s="22"/>
      <c r="Q1" s="22"/>
      <c r="R1" s="22"/>
      <c r="S1" s="22"/>
      <c r="T1" s="22"/>
      <c r="U1" s="22"/>
      <c r="V1" s="22"/>
      <c r="W1" s="22"/>
      <c r="X1" s="22"/>
      <c r="Y1" s="22"/>
      <c r="Z1" s="22"/>
    </row>
    <row r="2" spans="1:26" x14ac:dyDescent="0.25">
      <c r="A2" s="17"/>
      <c r="B2" s="25" t="str">
        <f>IF(OR(A3="Metered",A4="Metered"),"Metered","")</f>
        <v/>
      </c>
      <c r="C2" s="31"/>
      <c r="D2" s="31"/>
      <c r="E2" s="2"/>
      <c r="F2" s="2"/>
      <c r="H2" s="24" t="s">
        <v>8</v>
      </c>
      <c r="I2" s="28" t="s">
        <v>53</v>
      </c>
      <c r="J2" s="28"/>
      <c r="K2" s="41" t="s">
        <v>81</v>
      </c>
      <c r="L2" s="41"/>
      <c r="M2" s="28" t="s">
        <v>34</v>
      </c>
      <c r="N2" s="28"/>
      <c r="O2" s="28" t="s">
        <v>35</v>
      </c>
      <c r="P2" s="28"/>
      <c r="Q2" s="28" t="s">
        <v>36</v>
      </c>
      <c r="R2" s="28"/>
      <c r="S2" s="1" t="s">
        <v>176</v>
      </c>
      <c r="T2" t="s">
        <v>54</v>
      </c>
      <c r="U2" t="s">
        <v>55</v>
      </c>
    </row>
    <row r="3" spans="1:26" x14ac:dyDescent="0.25">
      <c r="A3" s="18" t="str">
        <f>IFERROR(INDEX(WSSCO,MATCH(C3,Water!$B$2:$B$36,0),2),"None")</f>
        <v>None</v>
      </c>
      <c r="B3" s="23" t="s">
        <v>6</v>
      </c>
      <c r="C3" s="26"/>
      <c r="D3" s="26"/>
      <c r="E3" s="1" t="s">
        <v>1</v>
      </c>
      <c r="F3" s="1" t="s">
        <v>2</v>
      </c>
      <c r="H3" s="1" t="s">
        <v>56</v>
      </c>
      <c r="I3" s="29"/>
      <c r="J3" s="29"/>
      <c r="K3" s="26"/>
      <c r="L3" s="26"/>
      <c r="M3" s="26"/>
      <c r="N3" s="26"/>
      <c r="O3" s="26"/>
      <c r="P3" s="26"/>
      <c r="Q3" s="26"/>
      <c r="R3" s="26"/>
      <c r="S3" s="2"/>
      <c r="T3">
        <f>IF(I3="PRIVATETE",K3*S3/100,K3*M3/100)</f>
        <v>0</v>
      </c>
      <c r="U3">
        <f>IFERROR(INDEX(METER,MATCH($Q3,Waste!$H$2:$H$17,1),IF(INDEX(SSSCO,MATCH($C$4,Waste!$B$2:$B$63,0),5)="Full Value",3,IF(INDEX(SSSCO,MATCH($C$4,Waste!$B$2:$B$63,0),5)="Abated Value",4,1))),0)</f>
        <v>0</v>
      </c>
    </row>
    <row r="4" spans="1:26" x14ac:dyDescent="0.25">
      <c r="A4" s="18" t="str">
        <f>IFERROR(INDEX(SSSCO,MATCH(C4,Waste!$B$2:$B$71,0),2),"None")</f>
        <v>None</v>
      </c>
      <c r="B4" s="23" t="s">
        <v>7</v>
      </c>
      <c r="C4" s="26"/>
      <c r="D4" s="26"/>
      <c r="E4" s="1" t="s">
        <v>1</v>
      </c>
      <c r="F4" s="1" t="s">
        <v>2</v>
      </c>
      <c r="H4" s="1" t="s">
        <v>57</v>
      </c>
      <c r="I4" s="29"/>
      <c r="J4" s="29"/>
      <c r="K4" s="26"/>
      <c r="L4" s="26"/>
      <c r="M4" s="26"/>
      <c r="N4" s="26"/>
      <c r="O4" s="26"/>
      <c r="P4" s="26"/>
      <c r="Q4" s="26"/>
      <c r="R4" s="26"/>
      <c r="S4" s="2"/>
      <c r="T4">
        <f t="shared" ref="T4:T26" si="0">IF(I4="PRIVATETE",K4*S4/100,K4*M4/100)</f>
        <v>0</v>
      </c>
      <c r="U4">
        <f>IFERROR(INDEX(METER,MATCH($Q4,Waste!$H$2:$H$17,1),IF(INDEX(SSSCO,MATCH($C$4,Waste!$B$2:$B$63,0),5)="Full Value",3,IF(INDEX(SSSCO,MATCH($C$4,Waste!$B$2:$B$63,0),4)="Abated Value",5,1))),0)</f>
        <v>0</v>
      </c>
    </row>
    <row r="5" spans="1:26" x14ac:dyDescent="0.25">
      <c r="A5" s="1"/>
      <c r="B5" s="23" t="str">
        <f>IF(B2="Metered","Meters","None")</f>
        <v>None</v>
      </c>
      <c r="C5" s="26"/>
      <c r="D5" s="26"/>
      <c r="E5" s="42" t="s">
        <v>80</v>
      </c>
      <c r="F5" s="42"/>
      <c r="H5" s="1" t="s">
        <v>58</v>
      </c>
      <c r="I5" s="29"/>
      <c r="J5" s="29"/>
      <c r="K5" s="26"/>
      <c r="L5" s="26"/>
      <c r="M5" s="26"/>
      <c r="N5" s="26"/>
      <c r="O5" s="26"/>
      <c r="P5" s="26"/>
      <c r="Q5" s="26"/>
      <c r="R5" s="26"/>
      <c r="S5" s="2"/>
      <c r="T5">
        <f t="shared" si="0"/>
        <v>0</v>
      </c>
      <c r="U5">
        <f>IFERROR(INDEX(METER,MATCH($Q5,Waste!$H$2:$H$17,1),IF(INDEX(SSSCO,MATCH($C$4,Waste!$B$2:$B$63,0),5)="Full Value",3,IF(INDEX(SSSCO,MATCH($C$4,Waste!$B$2:$B$63,0),4)="Abated Value",5,1))),0)</f>
        <v>0</v>
      </c>
    </row>
    <row r="6" spans="1:26" x14ac:dyDescent="0.25">
      <c r="A6" s="20"/>
      <c r="B6" s="1"/>
      <c r="C6" s="33"/>
      <c r="D6" s="33"/>
      <c r="E6" s="1"/>
      <c r="F6" s="1"/>
      <c r="H6" s="1" t="s">
        <v>59</v>
      </c>
      <c r="I6" s="29"/>
      <c r="J6" s="29"/>
      <c r="K6" s="26"/>
      <c r="L6" s="26"/>
      <c r="M6" s="26"/>
      <c r="N6" s="26"/>
      <c r="O6" s="26"/>
      <c r="P6" s="26"/>
      <c r="Q6" s="26"/>
      <c r="R6" s="26"/>
      <c r="S6" s="2"/>
      <c r="T6">
        <f t="shared" si="0"/>
        <v>0</v>
      </c>
      <c r="U6">
        <f>IFERROR(INDEX(METER,MATCH($Q6,Waste!$H$2:$H$17,1),IF(INDEX(SSSCO,MATCH($C$4,Waste!$B$2:$B$63,0),5)="Full Value",3,IF(INDEX(SSSCO,MATCH($C$4,Waste!$B$2:$B$63,0),4)="Abated Value",5,1))),0)</f>
        <v>0</v>
      </c>
    </row>
    <row r="7" spans="1:26" ht="14.45" x14ac:dyDescent="0.35">
      <c r="A7" s="20"/>
      <c r="B7" s="1" t="str">
        <f>IF(A3="Assessed","Water Assessed Volume",IF(A3="Unmeasured","Water RV","None"))</f>
        <v>None</v>
      </c>
      <c r="C7" s="29"/>
      <c r="D7" s="29"/>
      <c r="E7" s="16" t="s">
        <v>3</v>
      </c>
      <c r="F7" s="1" t="s">
        <v>3</v>
      </c>
      <c r="H7" s="1" t="s">
        <v>60</v>
      </c>
      <c r="I7" s="29"/>
      <c r="J7" s="29"/>
      <c r="K7" s="26"/>
      <c r="L7" s="26"/>
      <c r="M7" s="26"/>
      <c r="N7" s="26"/>
      <c r="O7" s="26"/>
      <c r="P7" s="26"/>
      <c r="Q7" s="26"/>
      <c r="R7" s="26"/>
      <c r="S7" s="2"/>
      <c r="T7">
        <f t="shared" si="0"/>
        <v>0</v>
      </c>
      <c r="U7">
        <f>IFERROR(INDEX(METER,MATCH($Q7,Waste!$H$2:$H$17,1),IF(INDEX(SSSCO,MATCH($C$4,Waste!$B$2:$B$63,0),5)="Full Value",3,IF(INDEX(SSSCO,MATCH($C$4,Waste!$B$2:$B$63,0),4)="Abated Value",5,1))),0)</f>
        <v>0</v>
      </c>
    </row>
    <row r="8" spans="1:26" ht="14.45" x14ac:dyDescent="0.35">
      <c r="A8" s="20"/>
      <c r="B8" s="1" t="str">
        <f>IF(A4="Assessed","Sewerage Assessed Volume",IF(A4="Unmeasured","Sewerage RV","None"))</f>
        <v>None</v>
      </c>
      <c r="C8" s="29"/>
      <c r="D8" s="29"/>
      <c r="E8" s="16"/>
      <c r="F8" s="1"/>
      <c r="H8" s="1" t="s">
        <v>61</v>
      </c>
      <c r="I8" s="29"/>
      <c r="J8" s="29"/>
      <c r="K8" s="26"/>
      <c r="L8" s="26"/>
      <c r="M8" s="26"/>
      <c r="N8" s="26"/>
      <c r="O8" s="26"/>
      <c r="P8" s="26"/>
      <c r="Q8" s="26"/>
      <c r="R8" s="26"/>
      <c r="S8" s="2"/>
      <c r="T8">
        <f t="shared" si="0"/>
        <v>0</v>
      </c>
      <c r="U8">
        <f>IFERROR(INDEX(METER,MATCH($Q8,Waste!$H$2:$H$17,1),IF(INDEX(SSSCO,MATCH($C$4,Waste!$B$2:$B$63,0),5)="Full Value",3,IF(INDEX(SSSCO,MATCH($C$4,Waste!$B$2:$B$63,0),4)="Abated Value",5,1))),0)</f>
        <v>0</v>
      </c>
    </row>
    <row r="9" spans="1:26" ht="14.45" x14ac:dyDescent="0.35">
      <c r="A9" s="20"/>
      <c r="B9" s="1"/>
      <c r="C9" s="33"/>
      <c r="D9" s="33"/>
      <c r="E9" s="16"/>
      <c r="F9" s="1"/>
      <c r="H9" s="1" t="s">
        <v>62</v>
      </c>
      <c r="I9" s="29"/>
      <c r="J9" s="29"/>
      <c r="K9" s="26"/>
      <c r="L9" s="26"/>
      <c r="M9" s="26"/>
      <c r="N9" s="26"/>
      <c r="O9" s="26"/>
      <c r="P9" s="26"/>
      <c r="Q9" s="26"/>
      <c r="R9" s="26"/>
      <c r="S9" s="2"/>
      <c r="T9">
        <f t="shared" si="0"/>
        <v>0</v>
      </c>
      <c r="U9">
        <f>IFERROR(INDEX(METER,MATCH($Q9,Waste!$H$2:$H$17,1),IF(INDEX(SSSCO,MATCH($C$4,Waste!$B$2:$B$63,0),5)="Full Value",3,IF(INDEX(SSSCO,MATCH($C$4,Waste!$B$2:$B$63,0),4)="Abated Value",5,1))),0)</f>
        <v>0</v>
      </c>
    </row>
    <row r="10" spans="1:26" ht="14.45" x14ac:dyDescent="0.35">
      <c r="A10" s="20"/>
      <c r="B10" s="1" t="str">
        <f>IF(A3="Unmeasured","Water Pipe Size",IF(A3="Assessed","Assessed Water Meter Size","None"))</f>
        <v>None</v>
      </c>
      <c r="C10" s="29"/>
      <c r="D10" s="29"/>
      <c r="E10" s="16"/>
      <c r="F10" s="1"/>
      <c r="H10" s="1" t="s">
        <v>63</v>
      </c>
      <c r="I10" s="29"/>
      <c r="J10" s="29"/>
      <c r="K10" s="26"/>
      <c r="L10" s="26"/>
      <c r="M10" s="26"/>
      <c r="N10" s="26"/>
      <c r="O10" s="26"/>
      <c r="P10" s="26"/>
      <c r="Q10" s="26"/>
      <c r="R10" s="26"/>
      <c r="S10" s="2"/>
      <c r="T10">
        <f t="shared" si="0"/>
        <v>0</v>
      </c>
      <c r="U10">
        <f>IFERROR(INDEX(METER,MATCH($Q10,Waste!$H$2:$H$17,1),IF(INDEX(SSSCO,MATCH($C$4,Waste!$B$2:$B$63,0),5)="Full Value",3,IF(INDEX(SSSCO,MATCH($C$4,Waste!$B$2:$B$63,0),4)="Abated Value",5,1))),0)</f>
        <v>0</v>
      </c>
    </row>
    <row r="11" spans="1:26" ht="14.45" x14ac:dyDescent="0.35">
      <c r="A11" s="20"/>
      <c r="B11" s="1" t="str">
        <f>IF(A4="Unmeasured","Sewerage Pipe Size",IF(A4="Assessed","Assessed Sewerage Meter Size","None"))</f>
        <v>None</v>
      </c>
      <c r="C11" s="29"/>
      <c r="D11" s="29"/>
      <c r="E11" s="16">
        <f>IFERROR(INDEX(METER,MATCH($C11,Waste!$H$2:$H$17,1),IF(INDEX(SSSCO,MATCH($C$4,Waste!$B$2:$B$63,0),5)="Full Value",3,IF(INDEX(SSSCO,MATCH($C$4,Waste!$B$2:$B$63,0),4)="Abated Value",5,1))),0)</f>
        <v>0</v>
      </c>
      <c r="F11" s="1"/>
      <c r="H11" s="1" t="s">
        <v>64</v>
      </c>
      <c r="I11" s="29"/>
      <c r="J11" s="29"/>
      <c r="K11" s="26"/>
      <c r="L11" s="26"/>
      <c r="M11" s="26"/>
      <c r="N11" s="26"/>
      <c r="O11" s="26"/>
      <c r="P11" s="26"/>
      <c r="Q11" s="26"/>
      <c r="R11" s="26"/>
      <c r="S11" s="2"/>
      <c r="T11">
        <f t="shared" si="0"/>
        <v>0</v>
      </c>
      <c r="U11">
        <f>IFERROR(INDEX(METER,MATCH($Q11,Waste!$H$2:$H$17,1),IF(INDEX(SSSCO,MATCH($C$4,Waste!$B$2:$B$63,0),5)="Full Value",3,IF(INDEX(SSSCO,MATCH($C$4,Waste!$B$2:$B$63,0),4)="Abated Value",5,1))),0)</f>
        <v>0</v>
      </c>
    </row>
    <row r="12" spans="1:26" ht="14.45" x14ac:dyDescent="0.35">
      <c r="A12" s="20"/>
      <c r="B12" s="1"/>
      <c r="C12" s="33"/>
      <c r="D12" s="33"/>
      <c r="E12" s="16"/>
      <c r="F12" s="1"/>
      <c r="H12" s="1" t="s">
        <v>65</v>
      </c>
      <c r="I12" s="29"/>
      <c r="J12" s="29"/>
      <c r="K12" s="26"/>
      <c r="L12" s="26"/>
      <c r="M12" s="26"/>
      <c r="N12" s="26"/>
      <c r="O12" s="26"/>
      <c r="P12" s="26"/>
      <c r="Q12" s="26"/>
      <c r="R12" s="26"/>
      <c r="S12" s="2"/>
      <c r="T12">
        <f t="shared" si="0"/>
        <v>0</v>
      </c>
      <c r="U12">
        <f>IFERROR(INDEX(METER,MATCH($Q12,Waste!$H$2:$H$17,1),IF(INDEX(SSSCO,MATCH($C$4,Waste!$B$2:$B$63,0),5)="Full Value",3,IF(INDEX(SSSCO,MATCH($C$4,Waste!$B$2:$B$63,0),4)="Abated Value",5,1))),0)</f>
        <v>0</v>
      </c>
    </row>
    <row r="13" spans="1:26" ht="14.45" x14ac:dyDescent="0.35">
      <c r="A13" s="20"/>
      <c r="B13" s="15" t="str">
        <f>IF($A$3="Unmeasured","Unmeasured Water Item A Count","None")</f>
        <v>None</v>
      </c>
      <c r="C13" s="29"/>
      <c r="D13" s="29"/>
      <c r="E13" s="16">
        <f>C13*Water!I17</f>
        <v>0</v>
      </c>
      <c r="F13" s="1"/>
      <c r="H13" s="1" t="s">
        <v>66</v>
      </c>
      <c r="I13" s="29"/>
      <c r="J13" s="29"/>
      <c r="K13" s="26"/>
      <c r="L13" s="26"/>
      <c r="M13" s="26"/>
      <c r="N13" s="26"/>
      <c r="O13" s="26"/>
      <c r="P13" s="26"/>
      <c r="Q13" s="26"/>
      <c r="R13" s="26"/>
      <c r="S13" s="2"/>
      <c r="T13">
        <f t="shared" si="0"/>
        <v>0</v>
      </c>
      <c r="U13">
        <f>IFERROR(INDEX(METER,MATCH($Q13,Waste!$H$2:$H$17,1),IF(INDEX(SSSCO,MATCH($C$4,Waste!$B$2:$B$63,0),5)="Full Value",3,IF(INDEX(SSSCO,MATCH($C$4,Waste!$B$2:$B$63,0),4)="Abated Value",5,1))),0)</f>
        <v>0</v>
      </c>
    </row>
    <row r="14" spans="1:26" ht="14.45" x14ac:dyDescent="0.35">
      <c r="A14" s="20"/>
      <c r="B14" s="15" t="str">
        <f>IF($A$3="Unmeasured","Unmeasured Water Item B Count","None")</f>
        <v>None</v>
      </c>
      <c r="C14" s="35"/>
      <c r="D14" s="35"/>
      <c r="E14" s="16">
        <f>C14*Water!I18</f>
        <v>0</v>
      </c>
      <c r="F14" s="1"/>
      <c r="H14" s="1" t="s">
        <v>67</v>
      </c>
      <c r="I14" s="29"/>
      <c r="J14" s="29"/>
      <c r="K14" s="26"/>
      <c r="L14" s="26"/>
      <c r="M14" s="26"/>
      <c r="N14" s="26"/>
      <c r="O14" s="26"/>
      <c r="P14" s="26"/>
      <c r="Q14" s="26"/>
      <c r="R14" s="26"/>
      <c r="S14" s="2"/>
      <c r="T14">
        <f t="shared" si="0"/>
        <v>0</v>
      </c>
      <c r="U14">
        <f>IFERROR(INDEX(METER,MATCH($Q14,Waste!$H$2:$H$17,1),IF(INDEX(SSSCO,MATCH($C$4,Waste!$B$2:$B$63,0),5)="Full Value",3,IF(INDEX(SSSCO,MATCH($C$4,Waste!$B$2:$B$63,0),4)="Abated Value",5,1))),0)</f>
        <v>0</v>
      </c>
    </row>
    <row r="15" spans="1:26" ht="14.45" x14ac:dyDescent="0.35">
      <c r="A15" s="20"/>
      <c r="B15" s="15" t="str">
        <f>IF($A$3="Unmeasured","Unmeasured Water Item C Count","None")</f>
        <v>None</v>
      </c>
      <c r="C15" s="35"/>
      <c r="D15" s="35"/>
      <c r="E15" s="16">
        <f>C15*Water!I19</f>
        <v>0</v>
      </c>
      <c r="F15" s="1"/>
      <c r="H15" s="1" t="s">
        <v>68</v>
      </c>
      <c r="I15" s="29"/>
      <c r="J15" s="29"/>
      <c r="K15" s="26"/>
      <c r="L15" s="26"/>
      <c r="M15" s="26"/>
      <c r="N15" s="26"/>
      <c r="O15" s="26"/>
      <c r="P15" s="26"/>
      <c r="Q15" s="26"/>
      <c r="R15" s="26"/>
      <c r="S15" s="2"/>
      <c r="T15">
        <f t="shared" si="0"/>
        <v>0</v>
      </c>
      <c r="U15">
        <f>IFERROR(INDEX(METER,MATCH($Q15,Waste!$H$2:$H$17,1),IF(INDEX(SSSCO,MATCH($C$4,Waste!$B$2:$B$63,0),5)="Full Value",3,IF(INDEX(SSSCO,MATCH($C$4,Waste!$B$2:$B$63,0),4)="Abated Value",5,1))),0)</f>
        <v>0</v>
      </c>
    </row>
    <row r="16" spans="1:26" ht="14.45" x14ac:dyDescent="0.35">
      <c r="A16" s="20"/>
      <c r="B16" s="15" t="str">
        <f>IF($A$3="Unmeasured","Unmeasured Water Item D Count","None")</f>
        <v>None</v>
      </c>
      <c r="C16" s="35"/>
      <c r="D16" s="35"/>
      <c r="E16" s="16">
        <f>C16*Water!I20</f>
        <v>0</v>
      </c>
      <c r="F16" s="1"/>
      <c r="H16" s="1" t="s">
        <v>69</v>
      </c>
      <c r="I16" s="29"/>
      <c r="J16" s="29"/>
      <c r="K16" s="26"/>
      <c r="L16" s="26"/>
      <c r="M16" s="26"/>
      <c r="N16" s="26"/>
      <c r="O16" s="26"/>
      <c r="P16" s="26"/>
      <c r="Q16" s="26"/>
      <c r="R16" s="26"/>
      <c r="S16" s="2"/>
      <c r="T16">
        <f t="shared" si="0"/>
        <v>0</v>
      </c>
      <c r="U16">
        <f>IFERROR(INDEX(METER,MATCH($Q16,Waste!$H$2:$H$17,1),IF(INDEX(SSSCO,MATCH($C$4,Waste!$B$2:$B$63,0),5)="Full Value",3,IF(INDEX(SSSCO,MATCH($C$4,Waste!$B$2:$B$63,0),4)="Abated Value",5,1))),0)</f>
        <v>0</v>
      </c>
    </row>
    <row r="17" spans="1:21" ht="14.45" x14ac:dyDescent="0.35">
      <c r="A17" s="20"/>
      <c r="B17" s="15" t="str">
        <f>IF($A$3="Unmeasured","Unmeasured Water Item E Count","None")</f>
        <v>None</v>
      </c>
      <c r="C17" s="35"/>
      <c r="D17" s="35"/>
      <c r="E17" s="16">
        <f>C17*Water!I21</f>
        <v>0</v>
      </c>
      <c r="F17" s="1"/>
      <c r="H17" s="1" t="s">
        <v>70</v>
      </c>
      <c r="I17" s="29"/>
      <c r="J17" s="29"/>
      <c r="K17" s="26"/>
      <c r="L17" s="26"/>
      <c r="M17" s="26"/>
      <c r="N17" s="26"/>
      <c r="O17" s="26"/>
      <c r="P17" s="26"/>
      <c r="Q17" s="26"/>
      <c r="R17" s="26"/>
      <c r="S17" s="2"/>
      <c r="T17">
        <f t="shared" si="0"/>
        <v>0</v>
      </c>
      <c r="U17">
        <f>IFERROR(INDEX(METER,MATCH($Q17,Waste!$H$2:$H$17,1),IF(INDEX(SSSCO,MATCH($C$4,Waste!$B$2:$B$63,0),5)="Full Value",3,IF(INDEX(SSSCO,MATCH($C$4,Waste!$B$2:$B$63,0),4)="Abated Value",5,1))),0)</f>
        <v>0</v>
      </c>
    </row>
    <row r="18" spans="1:21" ht="14.45" x14ac:dyDescent="0.35">
      <c r="A18" s="20"/>
      <c r="B18" s="15"/>
      <c r="C18" s="40"/>
      <c r="D18" s="40"/>
      <c r="E18" s="16"/>
      <c r="F18" s="1"/>
      <c r="H18" s="1" t="s">
        <v>71</v>
      </c>
      <c r="I18" s="29"/>
      <c r="J18" s="29"/>
      <c r="K18" s="26"/>
      <c r="L18" s="26"/>
      <c r="M18" s="26"/>
      <c r="N18" s="26"/>
      <c r="O18" s="26"/>
      <c r="P18" s="26"/>
      <c r="Q18" s="26"/>
      <c r="R18" s="26"/>
      <c r="S18" s="2"/>
      <c r="T18">
        <f t="shared" si="0"/>
        <v>0</v>
      </c>
      <c r="U18">
        <f>IFERROR(INDEX(METER,MATCH($Q18,Waste!$H$2:$H$17,1),IF(INDEX(SSSCO,MATCH($C$4,Waste!$B$2:$B$63,0),5)="Full Value",3,IF(INDEX(SSSCO,MATCH($C$4,Waste!$B$2:$B$63,0),4)="Abated Value",5,1))),0)</f>
        <v>0</v>
      </c>
    </row>
    <row r="19" spans="1:21" ht="14.45" x14ac:dyDescent="0.35">
      <c r="A19" s="20"/>
      <c r="B19" s="15" t="str">
        <f>IF($A$4="Unmeasured","Unmeasured Sewerage Item A Count","None")</f>
        <v>None</v>
      </c>
      <c r="C19" s="35"/>
      <c r="D19" s="35"/>
      <c r="E19" s="16">
        <f>C19*Waste!I20</f>
        <v>0</v>
      </c>
      <c r="F19" s="1"/>
      <c r="H19" s="1" t="s">
        <v>72</v>
      </c>
      <c r="I19" s="29"/>
      <c r="J19" s="29"/>
      <c r="K19" s="26"/>
      <c r="L19" s="26"/>
      <c r="M19" s="26"/>
      <c r="N19" s="26"/>
      <c r="O19" s="26"/>
      <c r="P19" s="26"/>
      <c r="Q19" s="26"/>
      <c r="R19" s="26"/>
      <c r="S19" s="2"/>
      <c r="T19">
        <f t="shared" si="0"/>
        <v>0</v>
      </c>
      <c r="U19">
        <f>IFERROR(INDEX(METER,MATCH($Q19,Waste!$H$2:$H$17,1),IF(INDEX(SSSCO,MATCH($C$4,Waste!$B$2:$B$63,0),5)="Full Value",3,IF(INDEX(SSSCO,MATCH($C$4,Waste!$B$2:$B$63,0),4)="Abated Value",5,1))),0)</f>
        <v>0</v>
      </c>
    </row>
    <row r="20" spans="1:21" ht="14.45" x14ac:dyDescent="0.35">
      <c r="A20" s="20"/>
      <c r="B20" s="1"/>
      <c r="C20" s="33"/>
      <c r="D20" s="33"/>
      <c r="E20" s="1"/>
      <c r="F20" s="1"/>
      <c r="H20" s="1" t="s">
        <v>73</v>
      </c>
      <c r="I20" s="29"/>
      <c r="J20" s="29"/>
      <c r="K20" s="26"/>
      <c r="L20" s="26"/>
      <c r="M20" s="26"/>
      <c r="N20" s="26"/>
      <c r="O20" s="26"/>
      <c r="P20" s="26"/>
      <c r="Q20" s="26"/>
      <c r="R20" s="26"/>
      <c r="S20" s="2"/>
      <c r="T20">
        <f t="shared" si="0"/>
        <v>0</v>
      </c>
      <c r="U20">
        <f>IFERROR(INDEX(METER,MATCH($Q20,Waste!$H$2:$H$17,1),IF(INDEX(SSSCO,MATCH($C$4,Waste!$B$2:$B$63,0),5)="Full Value",3,IF(INDEX(SSSCO,MATCH($C$4,Waste!$B$2:$B$63,0),4)="Abated Value",5,1))),0)</f>
        <v>0</v>
      </c>
    </row>
    <row r="21" spans="1:21" ht="14.45" x14ac:dyDescent="0.35">
      <c r="A21" s="20"/>
      <c r="B21" s="1" t="str">
        <f>IF(A3="Metered","Metered Water Volume",IF(A3="Assessed","Assessed Water Volume",IF(A3="Unmeasured","Water Rateable Value","None")))</f>
        <v>None</v>
      </c>
      <c r="C21" s="38">
        <f ca="1">IF(A3="Metered",IF(C5=0,0,SUMIF(I3:INDIRECT("I"&amp;C5+2),"POTABLE/NONPOTABLE",K3:INDIRECT("K"&amp;C5+2))),IF(A3="None",0,C7))</f>
        <v>0</v>
      </c>
      <c r="D21" s="38"/>
      <c r="E21" s="1"/>
      <c r="F21" s="1"/>
      <c r="H21" s="1" t="s">
        <v>74</v>
      </c>
      <c r="I21" s="29"/>
      <c r="J21" s="29"/>
      <c r="K21" s="26"/>
      <c r="L21" s="26"/>
      <c r="M21" s="26"/>
      <c r="N21" s="26"/>
      <c r="O21" s="26"/>
      <c r="P21" s="26"/>
      <c r="Q21" s="26"/>
      <c r="R21" s="26"/>
      <c r="S21" s="2"/>
      <c r="T21">
        <f t="shared" si="0"/>
        <v>0</v>
      </c>
      <c r="U21">
        <f>IFERROR(INDEX(METER,MATCH($Q21,Waste!$H$2:$H$17,1),IF(INDEX(SSSCO,MATCH($C$4,Waste!$B$2:$B$63,0),5)="Full Value",3,IF(INDEX(SSSCO,MATCH($C$4,Waste!$B$2:$B$63,0),4)="Abated Value",5,1))),0)</f>
        <v>0</v>
      </c>
    </row>
    <row r="22" spans="1:21" ht="14.45" x14ac:dyDescent="0.35">
      <c r="A22" s="20"/>
      <c r="B22" s="1" t="str">
        <f>IF(A3="Metered","Metered Volumetric Rate (£/m3)",IF(A3="Assessed","Assessed Volumetric Rate (£/m3)",IF(A3="Unmeasured","Rateable Value Poundage","None")))</f>
        <v>None</v>
      </c>
      <c r="C22" s="39">
        <f>IFERROR(INDEX(WSSCO,MATCH($C$3,Water!$B$2:$B$36,0),3),0)</f>
        <v>0</v>
      </c>
      <c r="D22" s="39"/>
      <c r="F22" s="1"/>
      <c r="H22" s="1" t="s">
        <v>75</v>
      </c>
      <c r="I22" s="29"/>
      <c r="J22" s="29"/>
      <c r="K22" s="26"/>
      <c r="L22" s="26"/>
      <c r="M22" s="26"/>
      <c r="N22" s="26"/>
      <c r="O22" s="26"/>
      <c r="P22" s="26"/>
      <c r="Q22" s="26"/>
      <c r="R22" s="26"/>
      <c r="S22" s="2"/>
      <c r="T22">
        <f t="shared" si="0"/>
        <v>0</v>
      </c>
      <c r="U22">
        <f>IFERROR(INDEX(METER,MATCH($Q22,Waste!$H$2:$H$17,1),IF(INDEX(SSSCO,MATCH($C$4,Waste!$B$2:$B$63,0),5)="Full Value",3,IF(INDEX(SSSCO,MATCH($C$4,Waste!$B$2:$B$63,0),4)="Abated Value",5,1))),0)</f>
        <v>0</v>
      </c>
    </row>
    <row r="23" spans="1:21" ht="14.45" x14ac:dyDescent="0.35">
      <c r="A23" s="20"/>
      <c r="B23" s="1"/>
      <c r="C23" s="34"/>
      <c r="D23" s="34"/>
      <c r="E23" s="1"/>
      <c r="F23" s="1"/>
      <c r="H23" s="1" t="s">
        <v>76</v>
      </c>
      <c r="I23" s="29"/>
      <c r="J23" s="29"/>
      <c r="K23" s="26"/>
      <c r="L23" s="26"/>
      <c r="M23" s="26"/>
      <c r="N23" s="26"/>
      <c r="O23" s="26"/>
      <c r="P23" s="26"/>
      <c r="Q23" s="26"/>
      <c r="R23" s="26"/>
      <c r="S23" s="2"/>
      <c r="T23">
        <f t="shared" si="0"/>
        <v>0</v>
      </c>
      <c r="U23">
        <f>IFERROR(INDEX(METER,MATCH($Q23,Waste!$H$2:$H$17,1),IF(INDEX(SSSCO,MATCH($C$4,Waste!$B$2:$B$63,0),5)="Full Value",3,IF(INDEX(SSSCO,MATCH($C$4,Waste!$B$2:$B$63,0),4)="Abated Value",5,1))),0)</f>
        <v>0</v>
      </c>
    </row>
    <row r="24" spans="1:21" ht="14.45" x14ac:dyDescent="0.35">
      <c r="A24" s="20"/>
      <c r="B24" s="1" t="str">
        <f>IF(A4="Metered","Metered Sewerage Volume",IF(A4="Assessed","Assessed Sewerage Volume",IF(A4="Unmeasured","Sewerage Rateable Value","None")))</f>
        <v>None</v>
      </c>
      <c r="C24" s="38">
        <f ca="1">IF(A4="metered",IF(C5=0,0,SUM(T3:INDIRECT("T"&amp;C5+2))),IF(A4="None",0,C8))</f>
        <v>0</v>
      </c>
      <c r="D24" s="38"/>
      <c r="F24" s="1"/>
      <c r="H24" s="1" t="s">
        <v>77</v>
      </c>
      <c r="I24" s="29"/>
      <c r="J24" s="29"/>
      <c r="K24" s="26"/>
      <c r="L24" s="26"/>
      <c r="M24" s="26"/>
      <c r="N24" s="26"/>
      <c r="O24" s="26"/>
      <c r="P24" s="26"/>
      <c r="Q24" s="26"/>
      <c r="R24" s="26"/>
      <c r="S24" s="2"/>
      <c r="T24">
        <f t="shared" si="0"/>
        <v>0</v>
      </c>
      <c r="U24">
        <f>IFERROR(INDEX(METER,MATCH($Q24,Waste!$H$2:$H$17,1),IF(INDEX(SSSCO,MATCH($C$4,Waste!$B$2:$B$63,0),5)="Full Value",3,IF(INDEX(SSSCO,MATCH($C$4,Waste!$B$2:$B$63,0),4)="Abated Value",5,1))),0)</f>
        <v>0</v>
      </c>
    </row>
    <row r="25" spans="1:21" ht="14.45" x14ac:dyDescent="0.35">
      <c r="A25" s="20"/>
      <c r="B25" s="1" t="str">
        <f>IF(A4="Metered","Metered Volumetric Rate (£/m3)",IF(A4="Assessed","Assessed Volumetric Rate (£/m3)",IF(A4="Unmeasured","Rateable Value Poundage","None")))</f>
        <v>None</v>
      </c>
      <c r="C25" s="39">
        <f>IFERROR(INDEX(SSSCO,MATCH($C$4,Waste!$B$2:$B$63,0),3),0)</f>
        <v>0</v>
      </c>
      <c r="D25" s="39"/>
      <c r="H25" s="1" t="s">
        <v>78</v>
      </c>
      <c r="I25" s="29"/>
      <c r="J25" s="29"/>
      <c r="K25" s="26"/>
      <c r="L25" s="26"/>
      <c r="M25" s="26"/>
      <c r="N25" s="26"/>
      <c r="O25" s="26"/>
      <c r="P25" s="26"/>
      <c r="Q25" s="26"/>
      <c r="R25" s="26"/>
      <c r="S25" s="2"/>
      <c r="T25">
        <f t="shared" si="0"/>
        <v>0</v>
      </c>
      <c r="U25">
        <f>IFERROR(INDEX(METER,MATCH($Q25,Waste!$H$2:$H$17,1),IF(INDEX(SSSCO,MATCH($C$4,Waste!$B$2:$B$63,0),5)="Full Value",3,IF(INDEX(SSSCO,MATCH($C$4,Waste!$B$2:$B$63,0),4)="Abated Value",5,1))),0)</f>
        <v>0</v>
      </c>
    </row>
    <row r="26" spans="1:21" ht="14.45" x14ac:dyDescent="0.35">
      <c r="A26" s="20"/>
      <c r="B26" s="1"/>
      <c r="C26" s="34"/>
      <c r="D26" s="34"/>
      <c r="H26" s="1" t="s">
        <v>79</v>
      </c>
      <c r="I26" s="29"/>
      <c r="J26" s="29"/>
      <c r="K26" s="26"/>
      <c r="L26" s="26"/>
      <c r="M26" s="26"/>
      <c r="N26" s="26"/>
      <c r="O26" s="26"/>
      <c r="P26" s="26"/>
      <c r="Q26" s="26"/>
      <c r="R26" s="26"/>
      <c r="S26" s="2"/>
      <c r="T26">
        <f t="shared" si="0"/>
        <v>0</v>
      </c>
      <c r="U26">
        <f>IFERROR(INDEX(METER,MATCH($Q26,Waste!$H$2:$H$17,1),IF(INDEX(SSSCO,MATCH($C$4,Waste!$B$2:$B$63,0),5)="Full Value",3,IF(INDEX(SSSCO,MATCH($C$4,Waste!$B$2:$B$63,0),4)="Abated Value",5,1))),0)</f>
        <v>0</v>
      </c>
    </row>
    <row r="27" spans="1:21" ht="14.45" x14ac:dyDescent="0.35">
      <c r="A27" s="20"/>
      <c r="B27" s="1" t="str">
        <f>IF(A3="Unmeasured", "Water RV Charges",IF(OR(A3="Metered",A3="Assessed"),"Water Volumetric Charges","None"))</f>
        <v>None</v>
      </c>
      <c r="C27" s="37">
        <f ca="1">C22*C21</f>
        <v>0</v>
      </c>
      <c r="D27" s="37"/>
      <c r="F27" s="21"/>
    </row>
    <row r="28" spans="1:21" x14ac:dyDescent="0.25">
      <c r="B28" s="1" t="str">
        <f>IF(A3="None","None","Water Fixed Charges")</f>
        <v>None</v>
      </c>
      <c r="C28" s="37">
        <f>IFERROR(IF(INDEX(WSSCO,MATCH($C$3,Water!$B$2:$B$63,0),5)="None", 0, INDEX(UWPipe, MATCH(C10,Water!$H$2:$H$12,1),MATCH(INDEX(WSSCO,MATCH($C$3,Water!$B$2:$B$63,0),5),Water!H2:M2,0))),0)</f>
        <v>0</v>
      </c>
      <c r="D28" s="37"/>
    </row>
    <row r="29" spans="1:21" x14ac:dyDescent="0.25">
      <c r="B29" s="1" t="str">
        <f>IF(A3="Metered","Water Supplementary Charges",IF(A3="Unmeasured","Water Miscellaneous Charges","None"))</f>
        <v>None</v>
      </c>
      <c r="C29" s="37">
        <f>IF(A3="Metered",IFERROR(INDEX(WSSCO,MATCH($C$3,Water!$B$2:$B$36,0),4),0),IF(A3="Unmeasured",SUM(E13:E17),0))</f>
        <v>0</v>
      </c>
      <c r="D29" s="37"/>
    </row>
    <row r="30" spans="1:21" x14ac:dyDescent="0.25">
      <c r="B30" s="20"/>
      <c r="C30" s="34"/>
      <c r="D30" s="34"/>
    </row>
    <row r="31" spans="1:21" x14ac:dyDescent="0.25">
      <c r="B31" s="1" t="str">
        <f>IF(A4="Unmeasured", "Waste RV Charges",IF(OR(A4="Metered",A4="Assessed"),"Waste Volumetric Charges","None"))</f>
        <v>None</v>
      </c>
      <c r="C31" s="37">
        <f ca="1">C25*C24</f>
        <v>0</v>
      </c>
      <c r="D31" s="37"/>
      <c r="F31" s="27" t="s">
        <v>177</v>
      </c>
      <c r="G31" s="27"/>
      <c r="H31" s="27"/>
      <c r="I31" s="27"/>
      <c r="J31" s="27"/>
      <c r="K31" s="27"/>
      <c r="L31" s="27"/>
    </row>
    <row r="32" spans="1:21" x14ac:dyDescent="0.25">
      <c r="B32" s="1" t="str">
        <f>IF(A4="None","None","Waste Fixed Charges")</f>
        <v>None</v>
      </c>
      <c r="C32" s="37">
        <f ca="1">IFERROR(IF(A4="Metered",IF(C5=0,0,SUM(U3:INDIRECT("U"&amp;C5+2))),IF(INDEX(SSSCO,MATCH($C$4,Waste!$B$2:$B$63,0),5)="None", 0, INDEX(METER, MATCH(C11,Waste!$H$2:$H$17,1),MATCH(INDEX(SSSCO,MATCH($C$4,Waste!$B$2:$B$63,0),5),Waste!H2:Y2,0)))),0)</f>
        <v>0</v>
      </c>
      <c r="D32" s="37"/>
      <c r="F32" s="27"/>
      <c r="G32" s="27"/>
      <c r="H32" s="27"/>
      <c r="I32" s="27"/>
      <c r="J32" s="27"/>
      <c r="K32" s="27"/>
      <c r="L32" s="27"/>
    </row>
    <row r="33" spans="2:12" x14ac:dyDescent="0.25">
      <c r="B33" s="1" t="str">
        <f>IF(A4="Metered","Waste Supplementary Charges",IF(A4="Unmeasured","Waste Miscellaneous Charges","None"))</f>
        <v>None</v>
      </c>
      <c r="C33" s="37">
        <f>IF(A4="Metered",IFERROR(INDEX(SSSCO,MATCH($C$4,Waste!$B$2:$B$63,0),4),0),IF(A4="Unmeasured",IF(C4="NHHUSDOF",E19,E19),0))</f>
        <v>0</v>
      </c>
      <c r="D33" s="37"/>
      <c r="F33" s="27"/>
      <c r="G33" s="27"/>
      <c r="H33" s="27"/>
      <c r="I33" s="27"/>
      <c r="J33" s="27"/>
      <c r="K33" s="27"/>
      <c r="L33" s="27"/>
    </row>
    <row r="34" spans="2:12" x14ac:dyDescent="0.25">
      <c r="B34" s="1"/>
      <c r="C34" s="33"/>
      <c r="D34" s="33"/>
      <c r="F34" s="27"/>
      <c r="G34" s="27"/>
      <c r="H34" s="27"/>
      <c r="I34" s="27"/>
      <c r="J34" s="27"/>
      <c r="K34" s="27"/>
      <c r="L34" s="27"/>
    </row>
    <row r="35" spans="2:12" x14ac:dyDescent="0.25">
      <c r="B35" s="1" t="s">
        <v>51</v>
      </c>
      <c r="C35" s="36">
        <f ca="1">SUM(C27:C29)</f>
        <v>0</v>
      </c>
      <c r="D35" s="36"/>
      <c r="E35" s="1" t="str">
        <f>IF(ISERROR(INDEX(WSSCO,MATCH($C$3,Water!$B$2:$B$36,0),2)),"Invalid Tariff Code","")</f>
        <v>Invalid Tariff Code</v>
      </c>
      <c r="F35" s="27"/>
      <c r="G35" s="27"/>
      <c r="H35" s="27"/>
      <c r="I35" s="27"/>
      <c r="J35" s="27"/>
      <c r="K35" s="27"/>
      <c r="L35" s="27"/>
    </row>
    <row r="36" spans="2:12" x14ac:dyDescent="0.25">
      <c r="B36" s="1" t="s">
        <v>52</v>
      </c>
      <c r="C36" s="36">
        <f ca="1">SUM(C31:C33)</f>
        <v>0</v>
      </c>
      <c r="D36" s="36"/>
      <c r="E36" s="1" t="str">
        <f>IF(ISERROR(INDEX(SSSCO,MATCH($C$4,Waste!$B$2:$B$63,0),2)),"Invalid Tariff Code","")</f>
        <v>Invalid Tariff Code</v>
      </c>
      <c r="F36" s="27"/>
      <c r="G36" s="27"/>
      <c r="H36" s="27"/>
      <c r="I36" s="27"/>
      <c r="J36" s="27"/>
      <c r="K36" s="27"/>
      <c r="L36" s="27"/>
    </row>
    <row r="37" spans="2:12" ht="15.75" thickBot="1" x14ac:dyDescent="0.3">
      <c r="B37" s="19" t="s">
        <v>4</v>
      </c>
      <c r="C37" s="32">
        <f ca="1">SUM(C35:C36)</f>
        <v>0</v>
      </c>
      <c r="D37" s="32"/>
      <c r="F37" s="27"/>
      <c r="G37" s="27"/>
      <c r="H37" s="27"/>
      <c r="I37" s="27"/>
      <c r="J37" s="27"/>
      <c r="K37" s="27"/>
      <c r="L37" s="27"/>
    </row>
  </sheetData>
  <sheetProtection password="CFF2" sheet="1" objects="1" scenarios="1"/>
  <mergeCells count="164">
    <mergeCell ref="I11:J11"/>
    <mergeCell ref="I12:J12"/>
    <mergeCell ref="I13:J13"/>
    <mergeCell ref="I14:J14"/>
    <mergeCell ref="I15:J15"/>
    <mergeCell ref="I6:J6"/>
    <mergeCell ref="I7:J7"/>
    <mergeCell ref="I8:J8"/>
    <mergeCell ref="I9:J9"/>
    <mergeCell ref="I10:J10"/>
    <mergeCell ref="E5:F5"/>
    <mergeCell ref="C3:D3"/>
    <mergeCell ref="C9:D9"/>
    <mergeCell ref="C5:D5"/>
    <mergeCell ref="C6:D6"/>
    <mergeCell ref="C16:D16"/>
    <mergeCell ref="C15:D15"/>
    <mergeCell ref="C14:D14"/>
    <mergeCell ref="C13:D13"/>
    <mergeCell ref="C11:D11"/>
    <mergeCell ref="C12:D12"/>
    <mergeCell ref="C25:D25"/>
    <mergeCell ref="C21:D21"/>
    <mergeCell ref="C22:D22"/>
    <mergeCell ref="C20:D20"/>
    <mergeCell ref="C18:D18"/>
    <mergeCell ref="C10:D10"/>
    <mergeCell ref="C8:D8"/>
    <mergeCell ref="C7:D7"/>
    <mergeCell ref="C4:D4"/>
    <mergeCell ref="C1:D1"/>
    <mergeCell ref="C2:D2"/>
    <mergeCell ref="I3:J3"/>
    <mergeCell ref="I4:J4"/>
    <mergeCell ref="I5:J5"/>
    <mergeCell ref="I2:J2"/>
    <mergeCell ref="C37:D37"/>
    <mergeCell ref="C34:D34"/>
    <mergeCell ref="C23:D23"/>
    <mergeCell ref="C30:D30"/>
    <mergeCell ref="C26:D26"/>
    <mergeCell ref="C19:D19"/>
    <mergeCell ref="C17:D17"/>
    <mergeCell ref="C35:D35"/>
    <mergeCell ref="C36:D36"/>
    <mergeCell ref="C31:D31"/>
    <mergeCell ref="C32:D32"/>
    <mergeCell ref="C33:D33"/>
    <mergeCell ref="C27:D27"/>
    <mergeCell ref="C28:D28"/>
    <mergeCell ref="C29:D29"/>
    <mergeCell ref="C24:D24"/>
    <mergeCell ref="I19:J19"/>
    <mergeCell ref="I20:J20"/>
    <mergeCell ref="I26:J26"/>
    <mergeCell ref="K3:L3"/>
    <mergeCell ref="K4:L4"/>
    <mergeCell ref="K5:L5"/>
    <mergeCell ref="K6:L6"/>
    <mergeCell ref="K7:L7"/>
    <mergeCell ref="K8:L8"/>
    <mergeCell ref="K9:L9"/>
    <mergeCell ref="K10:L10"/>
    <mergeCell ref="K11:L11"/>
    <mergeCell ref="K12:L12"/>
    <mergeCell ref="K13:L13"/>
    <mergeCell ref="K14:L14"/>
    <mergeCell ref="K15:L15"/>
    <mergeCell ref="K16:L16"/>
    <mergeCell ref="K17:L17"/>
    <mergeCell ref="I21:J21"/>
    <mergeCell ref="I22:J22"/>
    <mergeCell ref="I23:J23"/>
    <mergeCell ref="I24:J24"/>
    <mergeCell ref="I25:J25"/>
    <mergeCell ref="I16:J16"/>
    <mergeCell ref="I17:J17"/>
    <mergeCell ref="I18:J18"/>
    <mergeCell ref="M2:N2"/>
    <mergeCell ref="M3:N3"/>
    <mergeCell ref="M4:N4"/>
    <mergeCell ref="M5:N5"/>
    <mergeCell ref="M6:N6"/>
    <mergeCell ref="K23:L23"/>
    <mergeCell ref="K24:L24"/>
    <mergeCell ref="K25:L25"/>
    <mergeCell ref="K26:L26"/>
    <mergeCell ref="K18:L18"/>
    <mergeCell ref="K19:L19"/>
    <mergeCell ref="K20:L20"/>
    <mergeCell ref="K21:L21"/>
    <mergeCell ref="K22:L22"/>
    <mergeCell ref="M12:N12"/>
    <mergeCell ref="M13:N13"/>
    <mergeCell ref="M14:N14"/>
    <mergeCell ref="M15:N15"/>
    <mergeCell ref="M16:N16"/>
    <mergeCell ref="M7:N7"/>
    <mergeCell ref="M8:N8"/>
    <mergeCell ref="M9:N9"/>
    <mergeCell ref="M10:N10"/>
    <mergeCell ref="K2:L2"/>
    <mergeCell ref="O14:P14"/>
    <mergeCell ref="O15:P15"/>
    <mergeCell ref="O16:P16"/>
    <mergeCell ref="M11:N11"/>
    <mergeCell ref="M22:N22"/>
    <mergeCell ref="M23:N23"/>
    <mergeCell ref="M24:N24"/>
    <mergeCell ref="M25:N25"/>
    <mergeCell ref="M26:N26"/>
    <mergeCell ref="M17:N17"/>
    <mergeCell ref="M18:N18"/>
    <mergeCell ref="M19:N19"/>
    <mergeCell ref="M20:N20"/>
    <mergeCell ref="M21:N21"/>
    <mergeCell ref="Q2:R2"/>
    <mergeCell ref="Q3:R3"/>
    <mergeCell ref="Q4:R4"/>
    <mergeCell ref="Q5:R5"/>
    <mergeCell ref="Q6:R6"/>
    <mergeCell ref="O22:P22"/>
    <mergeCell ref="O23:P23"/>
    <mergeCell ref="O24:P24"/>
    <mergeCell ref="O25:P25"/>
    <mergeCell ref="O7:P7"/>
    <mergeCell ref="O8:P8"/>
    <mergeCell ref="O9:P9"/>
    <mergeCell ref="O10:P10"/>
    <mergeCell ref="O11:P11"/>
    <mergeCell ref="O2:P2"/>
    <mergeCell ref="O3:P3"/>
    <mergeCell ref="O4:P4"/>
    <mergeCell ref="O5:P5"/>
    <mergeCell ref="O6:P6"/>
    <mergeCell ref="Q12:R12"/>
    <mergeCell ref="Q13:R13"/>
    <mergeCell ref="Q14:R14"/>
    <mergeCell ref="Q15:R15"/>
    <mergeCell ref="Q16:R16"/>
    <mergeCell ref="Q26:R26"/>
    <mergeCell ref="Q17:R17"/>
    <mergeCell ref="Q18:R18"/>
    <mergeCell ref="Q19:R19"/>
    <mergeCell ref="Q20:R20"/>
    <mergeCell ref="Q21:R21"/>
    <mergeCell ref="F31:L37"/>
    <mergeCell ref="Q7:R7"/>
    <mergeCell ref="Q8:R8"/>
    <mergeCell ref="Q9:R9"/>
    <mergeCell ref="Q10:R10"/>
    <mergeCell ref="Q11:R11"/>
    <mergeCell ref="Q22:R22"/>
    <mergeCell ref="Q23:R23"/>
    <mergeCell ref="Q24:R24"/>
    <mergeCell ref="Q25:R25"/>
    <mergeCell ref="O26:P26"/>
    <mergeCell ref="O17:P17"/>
    <mergeCell ref="O18:P18"/>
    <mergeCell ref="O19:P19"/>
    <mergeCell ref="O20:P20"/>
    <mergeCell ref="O21:P21"/>
    <mergeCell ref="O12:P12"/>
    <mergeCell ref="O13:P13"/>
  </mergeCells>
  <conditionalFormatting sqref="H3:R26">
    <cfRule type="expression" dxfId="6" priority="9">
      <formula>IF(RIGHT($H3,2)+0&gt;$C$5,1,0)</formula>
    </cfRule>
  </conditionalFormatting>
  <conditionalFormatting sqref="B5:E33">
    <cfRule type="expression" dxfId="5" priority="2">
      <formula>IF($B5="None",1,0)</formula>
    </cfRule>
  </conditionalFormatting>
  <conditionalFormatting sqref="H3:R26 M2:R2 H2:K2">
    <cfRule type="expression" dxfId="4" priority="1">
      <formula>IF($B$5="NONE",1,0)</formula>
    </cfRule>
  </conditionalFormatting>
  <conditionalFormatting sqref="E33:E34">
    <cfRule type="expression" dxfId="3" priority="14">
      <formula>IF($B31="None",1,0)</formula>
    </cfRule>
  </conditionalFormatting>
  <conditionalFormatting sqref="E28:E31">
    <cfRule type="expression" dxfId="2" priority="15">
      <formula>IF($B27="None",1,0)</formula>
    </cfRule>
  </conditionalFormatting>
  <conditionalFormatting sqref="E27">
    <cfRule type="expression" dxfId="1" priority="17">
      <formula>IF(#REF!="None",1,0)</formula>
    </cfRule>
  </conditionalFormatting>
  <conditionalFormatting sqref="E32">
    <cfRule type="expression" dxfId="0" priority="18">
      <formula>IF(#REF!="None",1,0)</formula>
    </cfRule>
  </conditionalFormatting>
  <dataValidations count="4">
    <dataValidation type="list" allowBlank="1" showInputMessage="1" showErrorMessage="1" sqref="I3:I26">
      <formula1>"POTABLE/NONPOTABLE,SEWERAGE,PRIVATEWATER,PRIVATETE"</formula1>
    </dataValidation>
    <dataValidation type="whole" allowBlank="1" showInputMessage="1" showErrorMessage="1" sqref="C5">
      <formula1>0</formula1>
      <formula2>24</formula2>
    </dataValidation>
    <dataValidation type="decimal" operator="greaterThanOrEqual" allowBlank="1" showInputMessage="1" showErrorMessage="1" sqref="C10:C11 C13:C17 C19 C7:C8">
      <formula1>0</formula1>
    </dataValidation>
    <dataValidation type="decimal" operator="lessThanOrEqual" allowBlank="1" showInputMessage="1" showErrorMessage="1" sqref="M3:N26">
      <formula1>100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Invalid Tariff Code" error="Tariff Code Must Be A Thames Water Wholesale Water Tariff Code">
          <x14:formula1>
            <xm:f>Water!$B$3:$B$36</xm:f>
          </x14:formula1>
          <xm:sqref>C3</xm:sqref>
        </x14:dataValidation>
        <x14:dataValidation type="list" errorStyle="information" allowBlank="1" showInputMessage="1" showErrorMessage="1" errorTitle="Invalid Tariff Code" error="Tariff Code Must Be A Thames Water Wholesale Sewerage Tariff Code">
          <x14:formula1>
            <xm:f>Waste!$B$3:$B$61</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6"/>
  <sheetViews>
    <sheetView topLeftCell="D1" workbookViewId="0">
      <selection activeCell="F10" sqref="F10"/>
    </sheetView>
  </sheetViews>
  <sheetFormatPr defaultRowHeight="15" x14ac:dyDescent="0.25"/>
  <cols>
    <col min="2" max="2" width="22.85546875" bestFit="1" customWidth="1"/>
    <col min="3" max="3" width="21.5703125" bestFit="1" customWidth="1"/>
    <col min="4" max="4" width="22.5703125" bestFit="1" customWidth="1"/>
    <col min="5" max="5" width="39" bestFit="1" customWidth="1"/>
    <col min="6" max="6" width="22.140625" bestFit="1" customWidth="1"/>
    <col min="8" max="8" width="29.140625" bestFit="1" customWidth="1"/>
    <col min="9" max="9" width="29.5703125" bestFit="1" customWidth="1"/>
    <col min="10" max="11" width="6.5703125" bestFit="1" customWidth="1"/>
    <col min="12" max="12" width="7.5703125" bestFit="1" customWidth="1"/>
    <col min="13" max="13" width="9.140625" bestFit="1" customWidth="1"/>
  </cols>
  <sheetData>
    <row r="2" spans="2:13" x14ac:dyDescent="0.25">
      <c r="B2" s="8" t="s">
        <v>0</v>
      </c>
      <c r="C2" s="8" t="s">
        <v>102</v>
      </c>
      <c r="D2" s="8" t="s">
        <v>11</v>
      </c>
      <c r="E2" s="8" t="s">
        <v>12</v>
      </c>
      <c r="F2" s="8" t="s">
        <v>13</v>
      </c>
      <c r="H2" s="8" t="s">
        <v>109</v>
      </c>
      <c r="I2" s="8" t="s">
        <v>110</v>
      </c>
      <c r="J2" s="8" t="s">
        <v>105</v>
      </c>
      <c r="K2" s="8" t="s">
        <v>108</v>
      </c>
      <c r="L2" s="8" t="s">
        <v>106</v>
      </c>
      <c r="M2" s="8" t="s">
        <v>107</v>
      </c>
    </row>
    <row r="3" spans="2:13" ht="14.45" x14ac:dyDescent="0.35">
      <c r="B3" s="12" t="s">
        <v>9</v>
      </c>
      <c r="C3" s="12" t="s">
        <v>5</v>
      </c>
      <c r="D3" s="13">
        <v>1.2987</v>
      </c>
      <c r="E3" s="7">
        <v>0</v>
      </c>
      <c r="F3" s="12" t="s">
        <v>17</v>
      </c>
      <c r="H3" s="9">
        <v>0</v>
      </c>
      <c r="I3" s="9">
        <v>0</v>
      </c>
      <c r="J3" s="7">
        <v>0</v>
      </c>
      <c r="K3" s="7">
        <v>0</v>
      </c>
      <c r="L3" s="7">
        <v>0</v>
      </c>
      <c r="M3" s="7">
        <v>0</v>
      </c>
    </row>
    <row r="4" spans="2:13" ht="14.45" x14ac:dyDescent="0.35">
      <c r="B4" s="12" t="s">
        <v>41</v>
      </c>
      <c r="C4" s="12" t="s">
        <v>5</v>
      </c>
      <c r="D4" s="13">
        <v>1.2987</v>
      </c>
      <c r="E4" s="7">
        <v>0</v>
      </c>
      <c r="F4" s="12" t="s">
        <v>17</v>
      </c>
      <c r="H4" s="9">
        <v>1</v>
      </c>
      <c r="I4" s="9">
        <v>19</v>
      </c>
      <c r="J4" s="7">
        <v>15.66</v>
      </c>
      <c r="K4" s="7">
        <f>J4*2</f>
        <v>31.32</v>
      </c>
      <c r="L4" s="7">
        <f>J4*12</f>
        <v>187.92000000000002</v>
      </c>
      <c r="M4" s="7">
        <f>J4*67</f>
        <v>1049.22</v>
      </c>
    </row>
    <row r="5" spans="2:13" ht="14.45" x14ac:dyDescent="0.35">
      <c r="B5" s="12" t="s">
        <v>42</v>
      </c>
      <c r="C5" s="12" t="s">
        <v>5</v>
      </c>
      <c r="D5" s="13">
        <v>1.2987</v>
      </c>
      <c r="E5" s="7">
        <v>0</v>
      </c>
      <c r="F5" s="12" t="s">
        <v>17</v>
      </c>
      <c r="H5" s="9">
        <v>20</v>
      </c>
      <c r="I5" s="9">
        <v>24</v>
      </c>
      <c r="J5" s="7">
        <v>15.66</v>
      </c>
      <c r="K5" s="7">
        <v>0</v>
      </c>
      <c r="L5" s="7">
        <v>0</v>
      </c>
      <c r="M5" s="7">
        <v>0</v>
      </c>
    </row>
    <row r="6" spans="2:13" ht="14.45" x14ac:dyDescent="0.35">
      <c r="B6" s="12" t="s">
        <v>43</v>
      </c>
      <c r="C6" s="12" t="s">
        <v>5</v>
      </c>
      <c r="D6" s="13">
        <v>1.2987</v>
      </c>
      <c r="E6" s="7">
        <v>0</v>
      </c>
      <c r="F6" s="12" t="s">
        <v>17</v>
      </c>
      <c r="H6" s="9">
        <v>25</v>
      </c>
      <c r="I6" s="9">
        <v>29</v>
      </c>
      <c r="J6" s="7">
        <v>15.66</v>
      </c>
      <c r="K6" s="7">
        <v>0</v>
      </c>
      <c r="L6" s="7">
        <v>0</v>
      </c>
      <c r="M6" s="7">
        <v>0</v>
      </c>
    </row>
    <row r="7" spans="2:13" ht="14.45" x14ac:dyDescent="0.35">
      <c r="B7" s="12" t="s">
        <v>44</v>
      </c>
      <c r="C7" s="12" t="s">
        <v>5</v>
      </c>
      <c r="D7" s="13">
        <v>1.1886000000000001</v>
      </c>
      <c r="E7" s="7">
        <v>2202</v>
      </c>
      <c r="F7" s="12" t="s">
        <v>17</v>
      </c>
      <c r="H7" s="9">
        <v>30</v>
      </c>
      <c r="I7" s="9">
        <v>39</v>
      </c>
      <c r="J7" s="7">
        <v>15.66</v>
      </c>
      <c r="K7" s="7">
        <v>0</v>
      </c>
      <c r="L7" s="7">
        <v>0</v>
      </c>
      <c r="M7" s="7">
        <v>0</v>
      </c>
    </row>
    <row r="8" spans="2:13" ht="14.45" x14ac:dyDescent="0.35">
      <c r="B8" s="12" t="s">
        <v>48</v>
      </c>
      <c r="C8" s="12" t="s">
        <v>5</v>
      </c>
      <c r="D8" s="13">
        <v>1.1886000000000001</v>
      </c>
      <c r="E8" s="7">
        <v>0</v>
      </c>
      <c r="F8" s="12" t="s">
        <v>17</v>
      </c>
      <c r="H8" s="9">
        <v>40</v>
      </c>
      <c r="I8" s="9">
        <v>49</v>
      </c>
      <c r="J8" s="7">
        <v>15.66</v>
      </c>
      <c r="K8" s="7">
        <v>0</v>
      </c>
      <c r="L8" s="7">
        <v>0</v>
      </c>
      <c r="M8" s="7">
        <v>0</v>
      </c>
    </row>
    <row r="9" spans="2:13" ht="14.45" x14ac:dyDescent="0.35">
      <c r="B9" s="12" t="s">
        <v>45</v>
      </c>
      <c r="C9" s="12" t="s">
        <v>5</v>
      </c>
      <c r="D9" s="13">
        <v>0.97489999999999999</v>
      </c>
      <c r="E9" s="7">
        <v>12887</v>
      </c>
      <c r="F9" s="12" t="s">
        <v>17</v>
      </c>
      <c r="H9" s="9">
        <v>50</v>
      </c>
      <c r="I9" s="9">
        <v>64</v>
      </c>
      <c r="J9" s="7">
        <v>15.66</v>
      </c>
      <c r="K9" s="7">
        <v>0</v>
      </c>
      <c r="L9" s="7">
        <v>0</v>
      </c>
      <c r="M9" s="7">
        <v>0</v>
      </c>
    </row>
    <row r="10" spans="2:13" ht="14.45" x14ac:dyDescent="0.35">
      <c r="B10" s="12" t="s">
        <v>49</v>
      </c>
      <c r="C10" s="12" t="s">
        <v>5</v>
      </c>
      <c r="D10" s="13">
        <v>0.97489999999999999</v>
      </c>
      <c r="E10" s="7">
        <v>0</v>
      </c>
      <c r="F10" s="12" t="s">
        <v>17</v>
      </c>
      <c r="H10" s="9">
        <v>65</v>
      </c>
      <c r="I10" s="9">
        <v>74</v>
      </c>
      <c r="J10" s="7">
        <v>15.66</v>
      </c>
      <c r="K10" s="7">
        <v>0</v>
      </c>
      <c r="L10" s="7">
        <v>0</v>
      </c>
      <c r="M10" s="7">
        <v>0</v>
      </c>
    </row>
    <row r="11" spans="2:13" ht="14.45" x14ac:dyDescent="0.35">
      <c r="B11" s="12" t="s">
        <v>46</v>
      </c>
      <c r="C11" s="12" t="s">
        <v>5</v>
      </c>
      <c r="D11" s="13">
        <v>0.78049999999999997</v>
      </c>
      <c r="E11" s="7">
        <v>61487</v>
      </c>
      <c r="F11" s="12" t="s">
        <v>17</v>
      </c>
      <c r="H11" s="9">
        <v>75</v>
      </c>
      <c r="I11" s="9">
        <v>99</v>
      </c>
      <c r="J11" s="7">
        <v>15.66</v>
      </c>
      <c r="K11" s="7">
        <v>0</v>
      </c>
      <c r="L11" s="7">
        <v>0</v>
      </c>
      <c r="M11" s="7">
        <v>0</v>
      </c>
    </row>
    <row r="12" spans="2:13" x14ac:dyDescent="0.25">
      <c r="B12" s="12" t="s">
        <v>47</v>
      </c>
      <c r="C12" s="12" t="s">
        <v>5</v>
      </c>
      <c r="D12" s="13">
        <v>0.78049999999999997</v>
      </c>
      <c r="E12" s="7">
        <v>0</v>
      </c>
      <c r="F12" s="12" t="s">
        <v>17</v>
      </c>
      <c r="H12" s="9">
        <v>100</v>
      </c>
      <c r="I12" s="9" t="s">
        <v>18</v>
      </c>
      <c r="J12" s="7">
        <v>15.66</v>
      </c>
      <c r="K12" s="7">
        <v>0</v>
      </c>
      <c r="L12" s="7">
        <v>0</v>
      </c>
      <c r="M12" s="7">
        <v>0</v>
      </c>
    </row>
    <row r="13" spans="2:13" ht="14.45" x14ac:dyDescent="0.35">
      <c r="B13" s="12" t="s">
        <v>50</v>
      </c>
      <c r="C13" s="12" t="s">
        <v>5</v>
      </c>
      <c r="D13" s="13">
        <v>0</v>
      </c>
      <c r="E13" s="7">
        <v>0</v>
      </c>
      <c r="F13" s="12" t="s">
        <v>17</v>
      </c>
    </row>
    <row r="14" spans="2:13" ht="14.45" x14ac:dyDescent="0.35">
      <c r="B14" s="12" t="s">
        <v>134</v>
      </c>
      <c r="C14" s="12" t="s">
        <v>5</v>
      </c>
      <c r="D14" s="14">
        <v>1.1619999999999999</v>
      </c>
      <c r="E14" s="7">
        <v>0</v>
      </c>
      <c r="F14" s="12" t="s">
        <v>17</v>
      </c>
    </row>
    <row r="15" spans="2:13" ht="14.45" x14ac:dyDescent="0.35">
      <c r="B15" s="12" t="s">
        <v>135</v>
      </c>
      <c r="C15" s="12" t="s">
        <v>5</v>
      </c>
      <c r="D15" s="14">
        <v>1.1618999999999999</v>
      </c>
      <c r="E15" s="7">
        <v>0</v>
      </c>
      <c r="F15" s="12" t="s">
        <v>17</v>
      </c>
    </row>
    <row r="16" spans="2:13" ht="14.45" x14ac:dyDescent="0.35">
      <c r="B16" s="12" t="s">
        <v>136</v>
      </c>
      <c r="C16" s="12" t="s">
        <v>5</v>
      </c>
      <c r="D16" s="14">
        <v>1.1652</v>
      </c>
      <c r="E16" s="7">
        <v>0</v>
      </c>
      <c r="F16" s="12" t="s">
        <v>17</v>
      </c>
      <c r="H16" s="8" t="s">
        <v>111</v>
      </c>
      <c r="I16" s="8" t="s">
        <v>112</v>
      </c>
    </row>
    <row r="17" spans="2:9" ht="14.45" x14ac:dyDescent="0.35">
      <c r="B17" s="12" t="s">
        <v>137</v>
      </c>
      <c r="C17" s="12" t="s">
        <v>5</v>
      </c>
      <c r="D17" s="14">
        <v>1.1655</v>
      </c>
      <c r="E17" s="7">
        <v>0</v>
      </c>
      <c r="F17" s="12" t="s">
        <v>17</v>
      </c>
      <c r="H17" s="9" t="s">
        <v>113</v>
      </c>
      <c r="I17" s="9">
        <v>9.66</v>
      </c>
    </row>
    <row r="18" spans="2:9" ht="14.45" x14ac:dyDescent="0.35">
      <c r="B18" s="12" t="s">
        <v>138</v>
      </c>
      <c r="C18" s="12" t="s">
        <v>5</v>
      </c>
      <c r="D18" s="14">
        <v>0</v>
      </c>
      <c r="E18" s="7">
        <v>0</v>
      </c>
      <c r="F18" s="12" t="s">
        <v>17</v>
      </c>
      <c r="H18" s="9" t="s">
        <v>114</v>
      </c>
      <c r="I18" s="9">
        <v>24.39</v>
      </c>
    </row>
    <row r="19" spans="2:9" ht="14.45" x14ac:dyDescent="0.35">
      <c r="B19" s="12" t="s">
        <v>82</v>
      </c>
      <c r="C19" s="12" t="s">
        <v>103</v>
      </c>
      <c r="D19" s="13">
        <v>1.2987</v>
      </c>
      <c r="E19" s="7">
        <v>0</v>
      </c>
      <c r="F19" s="12" t="s">
        <v>17</v>
      </c>
      <c r="H19" s="9" t="s">
        <v>115</v>
      </c>
      <c r="I19" s="9">
        <v>77.09</v>
      </c>
    </row>
    <row r="20" spans="2:9" ht="14.45" x14ac:dyDescent="0.35">
      <c r="B20" s="12" t="s">
        <v>84</v>
      </c>
      <c r="C20" s="12" t="s">
        <v>103</v>
      </c>
      <c r="D20" s="13">
        <v>1.2987</v>
      </c>
      <c r="E20" s="7">
        <v>0</v>
      </c>
      <c r="F20" s="12" t="s">
        <v>17</v>
      </c>
      <c r="H20" s="9" t="s">
        <v>116</v>
      </c>
      <c r="I20" s="9">
        <v>156.47</v>
      </c>
    </row>
    <row r="21" spans="2:9" ht="14.45" x14ac:dyDescent="0.35">
      <c r="B21" s="12" t="s">
        <v>85</v>
      </c>
      <c r="C21" s="12" t="s">
        <v>103</v>
      </c>
      <c r="D21" s="13">
        <v>1.2987</v>
      </c>
      <c r="E21" s="7">
        <v>0</v>
      </c>
      <c r="F21" s="12" t="s">
        <v>17</v>
      </c>
      <c r="H21" s="9" t="s">
        <v>117</v>
      </c>
      <c r="I21" s="9">
        <v>329.58</v>
      </c>
    </row>
    <row r="22" spans="2:9" ht="14.45" x14ac:dyDescent="0.35">
      <c r="B22" s="12" t="s">
        <v>86</v>
      </c>
      <c r="C22" s="12" t="s">
        <v>103</v>
      </c>
      <c r="D22" s="13">
        <v>1.2987</v>
      </c>
      <c r="E22" s="7">
        <v>0</v>
      </c>
      <c r="F22" s="12" t="s">
        <v>17</v>
      </c>
    </row>
    <row r="23" spans="2:9" ht="14.45" x14ac:dyDescent="0.35">
      <c r="B23" s="12" t="s">
        <v>87</v>
      </c>
      <c r="C23" s="12" t="s">
        <v>103</v>
      </c>
      <c r="D23" s="13">
        <v>0</v>
      </c>
      <c r="E23" s="7">
        <v>0</v>
      </c>
      <c r="F23" s="12" t="s">
        <v>17</v>
      </c>
    </row>
    <row r="24" spans="2:9" ht="14.45" x14ac:dyDescent="0.35">
      <c r="B24" s="12" t="s">
        <v>88</v>
      </c>
      <c r="C24" s="12" t="s">
        <v>104</v>
      </c>
      <c r="D24" s="13">
        <v>0.79100000000000004</v>
      </c>
      <c r="E24" s="7">
        <v>0</v>
      </c>
      <c r="F24" s="12" t="s">
        <v>105</v>
      </c>
    </row>
    <row r="25" spans="2:9" ht="14.45" x14ac:dyDescent="0.35">
      <c r="B25" s="12" t="s">
        <v>89</v>
      </c>
      <c r="C25" s="12" t="s">
        <v>104</v>
      </c>
      <c r="D25" s="13">
        <v>0.80510000000000004</v>
      </c>
      <c r="E25" s="7">
        <v>0</v>
      </c>
      <c r="F25" s="12" t="s">
        <v>105</v>
      </c>
    </row>
    <row r="26" spans="2:9" ht="14.45" x14ac:dyDescent="0.35">
      <c r="B26" s="12" t="s">
        <v>90</v>
      </c>
      <c r="C26" s="12" t="s">
        <v>104</v>
      </c>
      <c r="D26" s="13">
        <v>0.60519999999999996</v>
      </c>
      <c r="E26" s="7">
        <v>0</v>
      </c>
      <c r="F26" s="12" t="s">
        <v>105</v>
      </c>
    </row>
    <row r="27" spans="2:9" x14ac:dyDescent="0.25">
      <c r="B27" s="12" t="s">
        <v>91</v>
      </c>
      <c r="C27" s="12" t="s">
        <v>104</v>
      </c>
      <c r="D27" s="13">
        <v>0.72470000000000001</v>
      </c>
      <c r="E27" s="7">
        <v>0</v>
      </c>
      <c r="F27" s="12" t="s">
        <v>105</v>
      </c>
    </row>
    <row r="28" spans="2:9" ht="30" x14ac:dyDescent="0.25">
      <c r="B28" s="12" t="s">
        <v>95</v>
      </c>
      <c r="C28" s="12" t="s">
        <v>104</v>
      </c>
      <c r="D28" s="13">
        <v>0.72470000000000001</v>
      </c>
      <c r="E28" s="7">
        <v>0</v>
      </c>
      <c r="F28" s="12" t="s">
        <v>106</v>
      </c>
    </row>
    <row r="29" spans="2:9" x14ac:dyDescent="0.25">
      <c r="B29" s="12" t="s">
        <v>92</v>
      </c>
      <c r="C29" s="12" t="s">
        <v>104</v>
      </c>
      <c r="D29" s="13">
        <v>0.93100000000000005</v>
      </c>
      <c r="E29" s="7">
        <v>0</v>
      </c>
      <c r="F29" s="12" t="s">
        <v>105</v>
      </c>
    </row>
    <row r="30" spans="2:9" ht="30" x14ac:dyDescent="0.25">
      <c r="B30" s="12" t="s">
        <v>96</v>
      </c>
      <c r="C30" s="12" t="s">
        <v>104</v>
      </c>
      <c r="D30" s="13">
        <v>0.93100000000000005</v>
      </c>
      <c r="E30" s="7">
        <v>0</v>
      </c>
      <c r="F30" s="12" t="s">
        <v>107</v>
      </c>
    </row>
    <row r="31" spans="2:9" x14ac:dyDescent="0.25">
      <c r="B31" s="12" t="s">
        <v>93</v>
      </c>
      <c r="C31" s="12" t="s">
        <v>104</v>
      </c>
      <c r="D31" s="13">
        <v>0.80730000000000002</v>
      </c>
      <c r="E31" s="7">
        <v>0</v>
      </c>
      <c r="F31" s="12" t="s">
        <v>105</v>
      </c>
    </row>
    <row r="32" spans="2:9" ht="30" x14ac:dyDescent="0.25">
      <c r="B32" s="12" t="s">
        <v>97</v>
      </c>
      <c r="C32" s="12" t="s">
        <v>104</v>
      </c>
      <c r="D32" s="13">
        <v>0.80730000000000002</v>
      </c>
      <c r="E32" s="7">
        <v>0</v>
      </c>
      <c r="F32" s="12" t="s">
        <v>108</v>
      </c>
    </row>
    <row r="33" spans="2:6" x14ac:dyDescent="0.25">
      <c r="B33" s="12" t="s">
        <v>94</v>
      </c>
      <c r="C33" s="12" t="s">
        <v>104</v>
      </c>
      <c r="D33" s="13">
        <v>1.1092</v>
      </c>
      <c r="E33" s="7">
        <v>0</v>
      </c>
      <c r="F33" s="12" t="s">
        <v>105</v>
      </c>
    </row>
    <row r="34" spans="2:6" ht="30" x14ac:dyDescent="0.25">
      <c r="B34" s="12" t="s">
        <v>98</v>
      </c>
      <c r="C34" s="12" t="s">
        <v>104</v>
      </c>
      <c r="D34" s="13">
        <v>1.1092</v>
      </c>
      <c r="E34" s="7">
        <v>0</v>
      </c>
      <c r="F34" s="12" t="s">
        <v>108</v>
      </c>
    </row>
    <row r="35" spans="2:6" x14ac:dyDescent="0.25">
      <c r="B35" s="12" t="s">
        <v>99</v>
      </c>
      <c r="C35" s="12" t="s">
        <v>104</v>
      </c>
      <c r="D35" s="13">
        <v>0</v>
      </c>
      <c r="E35" s="7">
        <v>0</v>
      </c>
      <c r="F35" s="12" t="s">
        <v>17</v>
      </c>
    </row>
    <row r="36" spans="2:6" x14ac:dyDescent="0.25">
      <c r="B36" s="12" t="s">
        <v>100</v>
      </c>
      <c r="C36" s="12" t="s">
        <v>104</v>
      </c>
      <c r="D36" s="13">
        <v>0</v>
      </c>
      <c r="E36" s="7">
        <v>0</v>
      </c>
      <c r="F36" s="12" t="s">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64"/>
  <sheetViews>
    <sheetView topLeftCell="A39" workbookViewId="0">
      <selection activeCell="B61" sqref="B61"/>
    </sheetView>
  </sheetViews>
  <sheetFormatPr defaultRowHeight="15" x14ac:dyDescent="0.25"/>
  <cols>
    <col min="2" max="2" width="12.5703125" bestFit="1" customWidth="1"/>
    <col min="3" max="4" width="22.5703125" bestFit="1" customWidth="1"/>
    <col min="5" max="6" width="22.140625" bestFit="1" customWidth="1"/>
    <col min="8" max="8" width="7.7109375" bestFit="1" customWidth="1"/>
    <col min="9" max="9" width="8.140625" bestFit="1" customWidth="1"/>
    <col min="10" max="10" width="10.140625" bestFit="1" customWidth="1"/>
    <col min="11" max="11" width="11.85546875" bestFit="1" customWidth="1"/>
    <col min="12" max="15" width="9.140625" bestFit="1" customWidth="1"/>
    <col min="16" max="16" width="6.5703125" bestFit="1" customWidth="1"/>
    <col min="17" max="21" width="7.5703125" bestFit="1" customWidth="1"/>
    <col min="22" max="22" width="6.5703125" bestFit="1" customWidth="1"/>
    <col min="23" max="23" width="7.5703125" bestFit="1" customWidth="1"/>
    <col min="24" max="25" width="9.140625" bestFit="1" customWidth="1"/>
  </cols>
  <sheetData>
    <row r="2" spans="2:25" x14ac:dyDescent="0.25">
      <c r="B2" s="4" t="s">
        <v>0</v>
      </c>
      <c r="C2" s="4" t="s">
        <v>102</v>
      </c>
      <c r="D2" s="4" t="s">
        <v>11</v>
      </c>
      <c r="E2" s="4" t="s">
        <v>12</v>
      </c>
      <c r="F2" s="4" t="s">
        <v>13</v>
      </c>
      <c r="H2" s="8" t="s">
        <v>160</v>
      </c>
      <c r="I2" s="8" t="s">
        <v>161</v>
      </c>
      <c r="J2" s="8" t="s">
        <v>14</v>
      </c>
      <c r="K2" s="8" t="s">
        <v>15</v>
      </c>
      <c r="L2" s="8" t="s">
        <v>162</v>
      </c>
      <c r="M2" s="8" t="s">
        <v>163</v>
      </c>
      <c r="N2" s="8" t="s">
        <v>164</v>
      </c>
      <c r="O2" s="8" t="s">
        <v>165</v>
      </c>
      <c r="P2" s="8" t="s">
        <v>166</v>
      </c>
      <c r="Q2" s="8" t="s">
        <v>167</v>
      </c>
      <c r="R2" s="8" t="s">
        <v>168</v>
      </c>
      <c r="S2" s="8" t="s">
        <v>169</v>
      </c>
      <c r="T2" s="8" t="s">
        <v>170</v>
      </c>
      <c r="U2" s="8" t="s">
        <v>171</v>
      </c>
      <c r="V2" s="8" t="s">
        <v>159</v>
      </c>
      <c r="W2" s="8" t="s">
        <v>172</v>
      </c>
      <c r="X2" s="8" t="s">
        <v>173</v>
      </c>
      <c r="Y2" s="8" t="s">
        <v>174</v>
      </c>
    </row>
    <row r="3" spans="2:25" ht="14.45" x14ac:dyDescent="0.35">
      <c r="B3" s="4" t="s">
        <v>10</v>
      </c>
      <c r="C3" s="4" t="s">
        <v>5</v>
      </c>
      <c r="D3" s="5">
        <v>0.8286</v>
      </c>
      <c r="E3" s="6">
        <v>0</v>
      </c>
      <c r="F3" s="4" t="s">
        <v>14</v>
      </c>
      <c r="H3" s="9">
        <v>0</v>
      </c>
      <c r="I3" s="9">
        <v>0</v>
      </c>
      <c r="J3" s="7">
        <v>0</v>
      </c>
      <c r="K3" s="7">
        <v>0</v>
      </c>
      <c r="L3" s="7">
        <v>0</v>
      </c>
      <c r="M3" s="7">
        <v>0</v>
      </c>
      <c r="N3" s="7">
        <v>0</v>
      </c>
      <c r="O3" s="20">
        <v>0</v>
      </c>
      <c r="P3" s="7">
        <v>0</v>
      </c>
      <c r="Q3" s="7">
        <v>0</v>
      </c>
      <c r="R3" s="7">
        <v>0</v>
      </c>
      <c r="S3" s="7">
        <v>0</v>
      </c>
      <c r="T3" s="7">
        <v>0</v>
      </c>
      <c r="U3" s="7">
        <v>0</v>
      </c>
      <c r="V3" s="7">
        <v>50.86</v>
      </c>
      <c r="W3" s="7">
        <v>0</v>
      </c>
      <c r="X3" s="7">
        <v>0</v>
      </c>
      <c r="Y3" s="7">
        <v>0</v>
      </c>
    </row>
    <row r="4" spans="2:25" ht="14.45" x14ac:dyDescent="0.35">
      <c r="B4" s="4" t="s">
        <v>19</v>
      </c>
      <c r="C4" s="4" t="s">
        <v>5</v>
      </c>
      <c r="D4" s="5">
        <v>0.8286</v>
      </c>
      <c r="E4" s="6">
        <v>0</v>
      </c>
      <c r="F4" s="4" t="s">
        <v>15</v>
      </c>
      <c r="H4" s="9">
        <v>1</v>
      </c>
      <c r="I4" s="9">
        <v>19</v>
      </c>
      <c r="J4" s="7">
        <v>39.82</v>
      </c>
      <c r="K4" s="7">
        <v>11</v>
      </c>
      <c r="L4" s="7">
        <v>39.82</v>
      </c>
      <c r="M4" s="7">
        <v>11</v>
      </c>
      <c r="N4" s="7">
        <v>50.86</v>
      </c>
      <c r="O4" s="7">
        <v>22.04</v>
      </c>
      <c r="P4" s="7">
        <f>L4*2</f>
        <v>79.64</v>
      </c>
      <c r="Q4" s="7">
        <f>L4*3</f>
        <v>119.46000000000001</v>
      </c>
      <c r="R4" s="7">
        <f>L4*4</f>
        <v>159.28</v>
      </c>
      <c r="S4" s="7">
        <f>L4*6</f>
        <v>238.92000000000002</v>
      </c>
      <c r="T4" s="7">
        <f>L4*10</f>
        <v>398.2</v>
      </c>
      <c r="U4" s="7">
        <f>L4*12</f>
        <v>477.84000000000003</v>
      </c>
      <c r="V4" s="7">
        <v>50.86</v>
      </c>
      <c r="W4" s="7">
        <f>N4*2</f>
        <v>101.72</v>
      </c>
      <c r="X4" s="7">
        <f>N4*12</f>
        <v>610.31999999999994</v>
      </c>
      <c r="Y4" s="7">
        <f>N4*67</f>
        <v>3407.62</v>
      </c>
    </row>
    <row r="5" spans="2:25" ht="14.45" x14ac:dyDescent="0.35">
      <c r="B5" s="4" t="s">
        <v>20</v>
      </c>
      <c r="C5" s="4" t="s">
        <v>5</v>
      </c>
      <c r="D5" s="5">
        <v>0.8286</v>
      </c>
      <c r="E5" s="6">
        <v>0</v>
      </c>
      <c r="F5" s="4" t="s">
        <v>14</v>
      </c>
      <c r="H5" s="9">
        <v>20</v>
      </c>
      <c r="I5" s="9">
        <v>24</v>
      </c>
      <c r="J5" s="7">
        <v>114.12</v>
      </c>
      <c r="K5" s="7">
        <v>49.57</v>
      </c>
      <c r="L5" s="7">
        <v>114.12</v>
      </c>
      <c r="M5" s="7">
        <v>49.57</v>
      </c>
      <c r="N5" s="7">
        <v>114.25</v>
      </c>
      <c r="O5" s="7">
        <v>49.7</v>
      </c>
      <c r="P5" s="7">
        <v>0</v>
      </c>
      <c r="Q5" s="7">
        <v>0</v>
      </c>
      <c r="R5" s="7">
        <v>0</v>
      </c>
      <c r="S5" s="7">
        <v>0</v>
      </c>
      <c r="T5" s="7">
        <v>0</v>
      </c>
      <c r="U5" s="7">
        <v>0</v>
      </c>
      <c r="V5" s="7">
        <v>50.86</v>
      </c>
      <c r="W5" s="7">
        <v>0</v>
      </c>
      <c r="X5" s="7">
        <v>0</v>
      </c>
      <c r="Y5" s="7">
        <v>0</v>
      </c>
    </row>
    <row r="6" spans="2:25" ht="14.45" x14ac:dyDescent="0.35">
      <c r="B6" s="4" t="s">
        <v>21</v>
      </c>
      <c r="C6" s="4" t="s">
        <v>5</v>
      </c>
      <c r="D6" s="5">
        <v>0.8286</v>
      </c>
      <c r="E6" s="6">
        <v>0</v>
      </c>
      <c r="F6" s="4" t="s">
        <v>15</v>
      </c>
      <c r="H6" s="9">
        <v>25</v>
      </c>
      <c r="I6" s="9">
        <v>29</v>
      </c>
      <c r="J6" s="7">
        <v>204.04</v>
      </c>
      <c r="K6" s="7">
        <v>88.76</v>
      </c>
      <c r="L6" s="7">
        <v>204.04</v>
      </c>
      <c r="M6" s="7">
        <v>88.76</v>
      </c>
      <c r="N6" s="7">
        <v>204.17</v>
      </c>
      <c r="O6" s="7">
        <v>88.89</v>
      </c>
      <c r="P6" s="7">
        <v>0</v>
      </c>
      <c r="Q6" s="7">
        <v>0</v>
      </c>
      <c r="R6" s="7">
        <v>0</v>
      </c>
      <c r="S6" s="7">
        <v>0</v>
      </c>
      <c r="T6" s="7">
        <v>0</v>
      </c>
      <c r="U6" s="7">
        <v>0</v>
      </c>
      <c r="V6" s="7">
        <v>50.86</v>
      </c>
      <c r="W6" s="7">
        <v>0</v>
      </c>
      <c r="X6" s="7">
        <v>0</v>
      </c>
      <c r="Y6" s="7">
        <v>0</v>
      </c>
    </row>
    <row r="7" spans="2:25" ht="14.45" x14ac:dyDescent="0.35">
      <c r="B7" s="4" t="s">
        <v>22</v>
      </c>
      <c r="C7" s="4" t="s">
        <v>5</v>
      </c>
      <c r="D7" s="5">
        <v>0.8286</v>
      </c>
      <c r="E7" s="6">
        <v>0</v>
      </c>
      <c r="F7" s="4" t="s">
        <v>14</v>
      </c>
      <c r="H7" s="9">
        <v>30</v>
      </c>
      <c r="I7" s="9">
        <v>39</v>
      </c>
      <c r="J7" s="7">
        <v>318.17</v>
      </c>
      <c r="K7" s="7">
        <v>138.33000000000001</v>
      </c>
      <c r="L7" s="7">
        <v>318.17</v>
      </c>
      <c r="M7" s="7">
        <v>138.33000000000001</v>
      </c>
      <c r="N7" s="7">
        <v>318.3</v>
      </c>
      <c r="O7" s="7">
        <v>138.46</v>
      </c>
      <c r="P7" s="7">
        <v>0</v>
      </c>
      <c r="Q7" s="7">
        <v>0</v>
      </c>
      <c r="R7" s="7">
        <v>0</v>
      </c>
      <c r="S7" s="7">
        <v>0</v>
      </c>
      <c r="T7" s="7">
        <v>0</v>
      </c>
      <c r="U7" s="7">
        <v>0</v>
      </c>
      <c r="V7" s="7">
        <v>50.86</v>
      </c>
      <c r="W7" s="7">
        <v>0</v>
      </c>
      <c r="X7" s="7">
        <v>0</v>
      </c>
      <c r="Y7" s="7">
        <v>0</v>
      </c>
    </row>
    <row r="8" spans="2:25" ht="14.45" x14ac:dyDescent="0.35">
      <c r="B8" s="4" t="s">
        <v>23</v>
      </c>
      <c r="C8" s="4" t="s">
        <v>5</v>
      </c>
      <c r="D8" s="5">
        <v>0.8286</v>
      </c>
      <c r="E8" s="6">
        <v>0</v>
      </c>
      <c r="F8" s="4" t="s">
        <v>15</v>
      </c>
      <c r="H8" s="9">
        <v>40</v>
      </c>
      <c r="I8" s="9">
        <v>49</v>
      </c>
      <c r="J8" s="7">
        <v>457.66</v>
      </c>
      <c r="K8" s="7">
        <v>198.27</v>
      </c>
      <c r="L8" s="7">
        <v>457.66</v>
      </c>
      <c r="M8" s="7">
        <v>198.27</v>
      </c>
      <c r="N8" s="7">
        <v>457.79</v>
      </c>
      <c r="O8" s="7">
        <v>198.4</v>
      </c>
      <c r="P8" s="7">
        <v>0</v>
      </c>
      <c r="Q8" s="7">
        <v>0</v>
      </c>
      <c r="R8" s="7">
        <v>0</v>
      </c>
      <c r="S8" s="7">
        <v>0</v>
      </c>
      <c r="T8" s="7">
        <v>0</v>
      </c>
      <c r="U8" s="7">
        <v>0</v>
      </c>
      <c r="V8" s="7">
        <v>50.86</v>
      </c>
      <c r="W8" s="7">
        <v>0</v>
      </c>
      <c r="X8" s="7">
        <v>0</v>
      </c>
      <c r="Y8" s="7">
        <v>0</v>
      </c>
    </row>
    <row r="9" spans="2:25" ht="14.45" x14ac:dyDescent="0.35">
      <c r="B9" s="4" t="s">
        <v>24</v>
      </c>
      <c r="C9" s="4" t="s">
        <v>5</v>
      </c>
      <c r="D9" s="5">
        <v>0.8286</v>
      </c>
      <c r="E9" s="6">
        <v>0</v>
      </c>
      <c r="F9" s="4" t="s">
        <v>14</v>
      </c>
      <c r="H9" s="9">
        <v>50</v>
      </c>
      <c r="I9" s="9">
        <v>64</v>
      </c>
      <c r="J9" s="7">
        <v>812.7</v>
      </c>
      <c r="K9" s="7">
        <v>352.75</v>
      </c>
      <c r="L9" s="7">
        <v>812.7</v>
      </c>
      <c r="M9" s="7">
        <v>352.75</v>
      </c>
      <c r="N9" s="7">
        <v>812.83</v>
      </c>
      <c r="O9" s="7">
        <v>352.88</v>
      </c>
      <c r="P9" s="7">
        <v>0</v>
      </c>
      <c r="Q9" s="7">
        <v>0</v>
      </c>
      <c r="R9" s="7">
        <v>0</v>
      </c>
      <c r="S9" s="7">
        <v>0</v>
      </c>
      <c r="T9" s="7">
        <v>0</v>
      </c>
      <c r="U9" s="7">
        <v>0</v>
      </c>
      <c r="V9" s="7">
        <v>50.86</v>
      </c>
      <c r="W9" s="7">
        <v>0</v>
      </c>
      <c r="X9" s="7">
        <v>0</v>
      </c>
      <c r="Y9" s="7">
        <v>0</v>
      </c>
    </row>
    <row r="10" spans="2:25" ht="14.45" x14ac:dyDescent="0.35">
      <c r="B10" s="4" t="s">
        <v>25</v>
      </c>
      <c r="C10" s="4" t="s">
        <v>5</v>
      </c>
      <c r="D10" s="5">
        <v>0.8286</v>
      </c>
      <c r="E10" s="6">
        <v>0</v>
      </c>
      <c r="F10" s="4" t="s">
        <v>15</v>
      </c>
      <c r="H10" s="9">
        <v>65</v>
      </c>
      <c r="I10" s="9">
        <v>74</v>
      </c>
      <c r="J10" s="7">
        <v>1271.51</v>
      </c>
      <c r="K10" s="7">
        <v>552.17999999999995</v>
      </c>
      <c r="L10" s="7">
        <v>1271.51</v>
      </c>
      <c r="M10" s="7">
        <v>552.17999999999995</v>
      </c>
      <c r="N10" s="7">
        <v>1271.6400000000001</v>
      </c>
      <c r="O10" s="7">
        <v>552.30999999999995</v>
      </c>
      <c r="P10" s="7">
        <v>0</v>
      </c>
      <c r="Q10" s="7">
        <v>0</v>
      </c>
      <c r="R10" s="7">
        <v>0</v>
      </c>
      <c r="S10" s="7">
        <v>0</v>
      </c>
      <c r="T10" s="7">
        <v>0</v>
      </c>
      <c r="U10" s="7">
        <v>0</v>
      </c>
      <c r="V10" s="7">
        <v>50.86</v>
      </c>
      <c r="W10" s="7">
        <v>0</v>
      </c>
      <c r="X10" s="7">
        <v>0</v>
      </c>
      <c r="Y10" s="7">
        <v>0</v>
      </c>
    </row>
    <row r="11" spans="2:25" ht="14.45" x14ac:dyDescent="0.35">
      <c r="B11" s="4" t="s">
        <v>26</v>
      </c>
      <c r="C11" s="4" t="s">
        <v>5</v>
      </c>
      <c r="D11" s="5">
        <v>0.8286</v>
      </c>
      <c r="E11" s="6">
        <v>0</v>
      </c>
      <c r="F11" s="4" t="s">
        <v>14</v>
      </c>
      <c r="H11" s="9">
        <v>75</v>
      </c>
      <c r="I11" s="9">
        <v>99</v>
      </c>
      <c r="J11" s="7">
        <v>1829.46</v>
      </c>
      <c r="K11" s="7">
        <v>794.27</v>
      </c>
      <c r="L11" s="7">
        <v>1829.46</v>
      </c>
      <c r="M11" s="7">
        <v>794.27</v>
      </c>
      <c r="N11" s="7">
        <v>1829.59</v>
      </c>
      <c r="O11" s="7">
        <v>794.4</v>
      </c>
      <c r="P11" s="7">
        <v>0</v>
      </c>
      <c r="Q11" s="7">
        <v>0</v>
      </c>
      <c r="R11" s="7">
        <v>0</v>
      </c>
      <c r="S11" s="7">
        <v>0</v>
      </c>
      <c r="T11" s="7">
        <v>0</v>
      </c>
      <c r="U11" s="7">
        <v>0</v>
      </c>
      <c r="V11" s="7">
        <v>50.86</v>
      </c>
      <c r="W11" s="7">
        <v>0</v>
      </c>
      <c r="X11" s="7">
        <v>0</v>
      </c>
      <c r="Y11" s="7">
        <v>0</v>
      </c>
    </row>
    <row r="12" spans="2:25" ht="14.45" x14ac:dyDescent="0.35">
      <c r="B12" s="4" t="s">
        <v>33</v>
      </c>
      <c r="C12" s="4" t="s">
        <v>5</v>
      </c>
      <c r="D12" s="5">
        <v>0.8286</v>
      </c>
      <c r="E12" s="6">
        <v>0</v>
      </c>
      <c r="F12" s="4" t="s">
        <v>15</v>
      </c>
      <c r="H12" s="9">
        <v>100</v>
      </c>
      <c r="I12" s="9">
        <v>124</v>
      </c>
      <c r="J12" s="7">
        <v>3253.14</v>
      </c>
      <c r="K12" s="7">
        <v>1412.15</v>
      </c>
      <c r="L12" s="7">
        <v>3253.14</v>
      </c>
      <c r="M12" s="7">
        <v>1412.15</v>
      </c>
      <c r="N12" s="7">
        <v>3253.27</v>
      </c>
      <c r="O12" s="7">
        <v>1412.28</v>
      </c>
      <c r="P12" s="7">
        <v>0</v>
      </c>
      <c r="Q12" s="7">
        <v>0</v>
      </c>
      <c r="R12" s="7">
        <v>0</v>
      </c>
      <c r="S12" s="7">
        <v>0</v>
      </c>
      <c r="T12" s="7">
        <v>0</v>
      </c>
      <c r="U12" s="7">
        <v>0</v>
      </c>
      <c r="V12" s="7">
        <v>50.86</v>
      </c>
      <c r="W12" s="7">
        <v>0</v>
      </c>
      <c r="X12" s="7">
        <v>0</v>
      </c>
      <c r="Y12" s="7">
        <v>0</v>
      </c>
    </row>
    <row r="13" spans="2:25" ht="14.45" x14ac:dyDescent="0.35">
      <c r="B13" s="4" t="s">
        <v>32</v>
      </c>
      <c r="C13" s="4" t="s">
        <v>5</v>
      </c>
      <c r="D13" s="5">
        <v>0.8286</v>
      </c>
      <c r="E13" s="6">
        <v>0</v>
      </c>
      <c r="F13" s="4" t="s">
        <v>14</v>
      </c>
      <c r="H13" s="9">
        <v>125</v>
      </c>
      <c r="I13" s="9">
        <v>149</v>
      </c>
      <c r="J13" s="7">
        <v>5082.6099999999997</v>
      </c>
      <c r="K13" s="7">
        <v>2206.4299999999998</v>
      </c>
      <c r="L13" s="7">
        <v>3253.14</v>
      </c>
      <c r="M13" s="7">
        <v>1412.15</v>
      </c>
      <c r="N13" s="7">
        <v>3253.27</v>
      </c>
      <c r="O13" s="7">
        <v>1347.74</v>
      </c>
      <c r="P13" s="7">
        <v>0</v>
      </c>
      <c r="Q13" s="7">
        <v>0</v>
      </c>
      <c r="R13" s="7">
        <v>0</v>
      </c>
      <c r="S13" s="7">
        <v>0</v>
      </c>
      <c r="T13" s="7">
        <v>0</v>
      </c>
      <c r="U13" s="7">
        <v>0</v>
      </c>
      <c r="V13" s="7">
        <v>50.86</v>
      </c>
      <c r="W13" s="7">
        <v>0</v>
      </c>
      <c r="X13" s="7">
        <v>0</v>
      </c>
      <c r="Y13" s="7">
        <v>0</v>
      </c>
    </row>
    <row r="14" spans="2:25" ht="14.45" x14ac:dyDescent="0.35">
      <c r="B14" s="4" t="s">
        <v>31</v>
      </c>
      <c r="C14" s="4" t="s">
        <v>5</v>
      </c>
      <c r="D14" s="5">
        <v>0.8286</v>
      </c>
      <c r="E14" s="6">
        <v>0</v>
      </c>
      <c r="F14" s="4" t="s">
        <v>15</v>
      </c>
      <c r="H14" s="9">
        <v>150</v>
      </c>
      <c r="I14" s="9">
        <v>199</v>
      </c>
      <c r="J14" s="7">
        <v>7318.99</v>
      </c>
      <c r="K14" s="7">
        <v>3177.05</v>
      </c>
      <c r="L14" s="7">
        <v>3253.14</v>
      </c>
      <c r="M14" s="7">
        <v>1412.15</v>
      </c>
      <c r="N14" s="7">
        <v>3253.27</v>
      </c>
      <c r="O14" s="7">
        <v>1347.74</v>
      </c>
      <c r="P14" s="7">
        <v>0</v>
      </c>
      <c r="Q14" s="7">
        <v>0</v>
      </c>
      <c r="R14" s="7">
        <v>0</v>
      </c>
      <c r="S14" s="7">
        <v>0</v>
      </c>
      <c r="T14" s="7">
        <v>0</v>
      </c>
      <c r="U14" s="7">
        <v>0</v>
      </c>
      <c r="V14" s="7">
        <v>50.86</v>
      </c>
      <c r="W14" s="7">
        <v>0</v>
      </c>
      <c r="X14" s="7">
        <v>0</v>
      </c>
      <c r="Y14" s="7">
        <v>0</v>
      </c>
    </row>
    <row r="15" spans="2:25" ht="14.45" x14ac:dyDescent="0.35">
      <c r="B15" s="4" t="s">
        <v>30</v>
      </c>
      <c r="C15" s="4" t="s">
        <v>5</v>
      </c>
      <c r="D15" s="5">
        <v>0.66339999999999999</v>
      </c>
      <c r="E15" s="6">
        <v>16522</v>
      </c>
      <c r="F15" s="4" t="s">
        <v>14</v>
      </c>
      <c r="H15" s="9">
        <v>200</v>
      </c>
      <c r="I15" s="9">
        <v>249</v>
      </c>
      <c r="J15" s="7">
        <v>13011.42</v>
      </c>
      <c r="K15" s="7">
        <v>5648.62</v>
      </c>
      <c r="L15" s="7">
        <v>3253.14</v>
      </c>
      <c r="M15" s="7">
        <v>1412.15</v>
      </c>
      <c r="N15" s="7">
        <v>3253.27</v>
      </c>
      <c r="O15" s="7">
        <v>1347.74</v>
      </c>
      <c r="P15" s="7">
        <v>0</v>
      </c>
      <c r="Q15" s="7">
        <v>0</v>
      </c>
      <c r="R15" s="7">
        <v>0</v>
      </c>
      <c r="S15" s="7">
        <v>0</v>
      </c>
      <c r="T15" s="7">
        <v>0</v>
      </c>
      <c r="U15" s="7">
        <v>0</v>
      </c>
      <c r="V15" s="7">
        <v>50.86</v>
      </c>
      <c r="W15" s="7">
        <v>0</v>
      </c>
      <c r="X15" s="7">
        <v>0</v>
      </c>
      <c r="Y15" s="7">
        <v>0</v>
      </c>
    </row>
    <row r="16" spans="2:25" ht="14.45" x14ac:dyDescent="0.35">
      <c r="B16" s="4" t="s">
        <v>29</v>
      </c>
      <c r="C16" s="4" t="s">
        <v>5</v>
      </c>
      <c r="D16" s="5">
        <v>0.66339999999999999</v>
      </c>
      <c r="E16" s="6">
        <v>16522</v>
      </c>
      <c r="F16" s="4" t="s">
        <v>15</v>
      </c>
      <c r="H16" s="9">
        <v>250</v>
      </c>
      <c r="I16" s="9">
        <v>299</v>
      </c>
      <c r="J16" s="7">
        <v>20329.259999999998</v>
      </c>
      <c r="K16" s="7">
        <v>8825.68</v>
      </c>
      <c r="L16" s="7">
        <v>3253.14</v>
      </c>
      <c r="M16" s="7">
        <v>1412.15</v>
      </c>
      <c r="N16" s="7">
        <v>3253.27</v>
      </c>
      <c r="O16" s="7">
        <v>1347.74</v>
      </c>
      <c r="P16" s="7">
        <v>0</v>
      </c>
      <c r="Q16" s="7">
        <v>0</v>
      </c>
      <c r="R16" s="7">
        <v>0</v>
      </c>
      <c r="S16" s="7">
        <v>0</v>
      </c>
      <c r="T16" s="7">
        <v>0</v>
      </c>
      <c r="U16" s="7">
        <v>0</v>
      </c>
      <c r="V16" s="7">
        <v>50.86</v>
      </c>
      <c r="W16" s="7">
        <v>0</v>
      </c>
      <c r="X16" s="7">
        <v>0</v>
      </c>
      <c r="Y16" s="7">
        <v>0</v>
      </c>
    </row>
    <row r="17" spans="2:25" x14ac:dyDescent="0.25">
      <c r="B17" s="4" t="s">
        <v>37</v>
      </c>
      <c r="C17" s="4" t="s">
        <v>5</v>
      </c>
      <c r="D17" s="5">
        <v>0.66339999999999999</v>
      </c>
      <c r="E17" s="6">
        <v>0</v>
      </c>
      <c r="F17" s="4" t="s">
        <v>14</v>
      </c>
      <c r="H17" s="9">
        <v>300</v>
      </c>
      <c r="I17" s="9" t="s">
        <v>18</v>
      </c>
      <c r="J17" s="7">
        <v>29274.81</v>
      </c>
      <c r="K17" s="7">
        <v>12709.38</v>
      </c>
      <c r="L17" s="7">
        <v>3253.14</v>
      </c>
      <c r="M17" s="7">
        <v>1412.15</v>
      </c>
      <c r="N17" s="7">
        <v>3253.27</v>
      </c>
      <c r="O17" s="7">
        <v>1347.74</v>
      </c>
      <c r="P17" s="7">
        <v>0</v>
      </c>
      <c r="Q17" s="7">
        <v>0</v>
      </c>
      <c r="R17" s="7">
        <v>0</v>
      </c>
      <c r="S17" s="7">
        <v>0</v>
      </c>
      <c r="T17" s="7">
        <v>0</v>
      </c>
      <c r="U17" s="7">
        <v>0</v>
      </c>
      <c r="V17" s="7">
        <v>50.86</v>
      </c>
      <c r="W17" s="7">
        <v>0</v>
      </c>
      <c r="X17" s="7">
        <v>0</v>
      </c>
      <c r="Y17" s="7">
        <v>0</v>
      </c>
    </row>
    <row r="18" spans="2:25" ht="14.45" x14ac:dyDescent="0.35">
      <c r="B18" s="4" t="s">
        <v>38</v>
      </c>
      <c r="C18" s="4" t="s">
        <v>5</v>
      </c>
      <c r="D18" s="5">
        <v>0.66339999999999999</v>
      </c>
      <c r="E18" s="6">
        <v>0</v>
      </c>
      <c r="F18" s="4" t="s">
        <v>15</v>
      </c>
    </row>
    <row r="19" spans="2:25" ht="14.45" x14ac:dyDescent="0.35">
      <c r="B19" s="4" t="s">
        <v>28</v>
      </c>
      <c r="C19" s="4" t="s">
        <v>5</v>
      </c>
      <c r="D19" s="5">
        <v>0.66339999999999999</v>
      </c>
      <c r="E19" s="6">
        <v>16522</v>
      </c>
      <c r="F19" s="4" t="s">
        <v>14</v>
      </c>
      <c r="H19" s="8" t="s">
        <v>175</v>
      </c>
      <c r="I19" s="8" t="s">
        <v>112</v>
      </c>
    </row>
    <row r="20" spans="2:25" ht="14.45" x14ac:dyDescent="0.35">
      <c r="B20" s="4" t="s">
        <v>27</v>
      </c>
      <c r="C20" s="4" t="s">
        <v>5</v>
      </c>
      <c r="D20" s="5">
        <v>0.66339999999999999</v>
      </c>
      <c r="E20" s="6">
        <v>16522</v>
      </c>
      <c r="F20" s="4" t="s">
        <v>15</v>
      </c>
      <c r="H20" s="9" t="s">
        <v>113</v>
      </c>
      <c r="I20" s="9">
        <v>7.19</v>
      </c>
    </row>
    <row r="21" spans="2:25" ht="14.45" x14ac:dyDescent="0.35">
      <c r="B21" s="4" t="s">
        <v>39</v>
      </c>
      <c r="C21" s="4" t="s">
        <v>5</v>
      </c>
      <c r="D21" s="5">
        <v>0.66339999999999999</v>
      </c>
      <c r="E21" s="6">
        <v>0</v>
      </c>
      <c r="F21" s="4" t="s">
        <v>14</v>
      </c>
    </row>
    <row r="22" spans="2:25" ht="14.45" x14ac:dyDescent="0.35">
      <c r="B22" s="4" t="s">
        <v>40</v>
      </c>
      <c r="C22" s="4" t="s">
        <v>5</v>
      </c>
      <c r="D22" s="5">
        <v>0.66339999999999999</v>
      </c>
      <c r="E22" s="6">
        <v>0</v>
      </c>
      <c r="F22" s="4" t="s">
        <v>15</v>
      </c>
    </row>
    <row r="23" spans="2:25" ht="14.45" x14ac:dyDescent="0.35">
      <c r="B23" s="3" t="s">
        <v>178</v>
      </c>
      <c r="C23" s="4" t="s">
        <v>5</v>
      </c>
      <c r="D23" s="5">
        <v>0</v>
      </c>
      <c r="E23" s="6">
        <v>0</v>
      </c>
      <c r="F23" s="4" t="s">
        <v>17</v>
      </c>
    </row>
    <row r="24" spans="2:25" ht="14.45" x14ac:dyDescent="0.35">
      <c r="B24" s="10" t="s">
        <v>132</v>
      </c>
      <c r="C24" s="4" t="s">
        <v>5</v>
      </c>
      <c r="D24" s="5">
        <v>0.52500000000000002</v>
      </c>
      <c r="E24" s="6">
        <v>16522</v>
      </c>
      <c r="F24" s="4" t="s">
        <v>15</v>
      </c>
    </row>
    <row r="25" spans="2:25" ht="14.45" x14ac:dyDescent="0.35">
      <c r="B25" s="10" t="s">
        <v>133</v>
      </c>
      <c r="C25" s="4" t="s">
        <v>5</v>
      </c>
      <c r="D25" s="5">
        <v>0.54549999999999998</v>
      </c>
      <c r="E25" s="6">
        <v>16522</v>
      </c>
      <c r="F25" s="4" t="s">
        <v>15</v>
      </c>
    </row>
    <row r="26" spans="2:25" ht="14.45" x14ac:dyDescent="0.35">
      <c r="B26" s="3" t="s">
        <v>118</v>
      </c>
      <c r="C26" s="11" t="s">
        <v>103</v>
      </c>
      <c r="D26" s="5">
        <v>0.8286</v>
      </c>
      <c r="E26" s="6">
        <v>0</v>
      </c>
      <c r="F26" s="4" t="s">
        <v>163</v>
      </c>
    </row>
    <row r="27" spans="2:25" ht="14.45" x14ac:dyDescent="0.35">
      <c r="B27" s="3" t="s">
        <v>119</v>
      </c>
      <c r="C27" s="11" t="s">
        <v>103</v>
      </c>
      <c r="D27" s="5">
        <v>0.8286</v>
      </c>
      <c r="E27" s="6">
        <v>0</v>
      </c>
      <c r="F27" s="4" t="s">
        <v>162</v>
      </c>
    </row>
    <row r="28" spans="2:25" ht="14.45" x14ac:dyDescent="0.35">
      <c r="B28" s="3" t="s">
        <v>120</v>
      </c>
      <c r="C28" s="11" t="s">
        <v>103</v>
      </c>
      <c r="D28" s="5">
        <v>0.8286</v>
      </c>
      <c r="E28" s="6">
        <v>0</v>
      </c>
      <c r="F28" s="4" t="s">
        <v>163</v>
      </c>
    </row>
    <row r="29" spans="2:25" ht="14.45" x14ac:dyDescent="0.35">
      <c r="B29" s="3" t="s">
        <v>121</v>
      </c>
      <c r="C29" s="11" t="s">
        <v>103</v>
      </c>
      <c r="D29" s="5">
        <v>0.8286</v>
      </c>
      <c r="E29" s="6">
        <v>0</v>
      </c>
      <c r="F29" s="4" t="s">
        <v>162</v>
      </c>
    </row>
    <row r="30" spans="2:25" ht="14.45" x14ac:dyDescent="0.35">
      <c r="B30" s="3" t="s">
        <v>122</v>
      </c>
      <c r="C30" s="11" t="s">
        <v>103</v>
      </c>
      <c r="D30" s="5">
        <v>0.8286</v>
      </c>
      <c r="E30" s="6">
        <v>0</v>
      </c>
      <c r="F30" s="4" t="s">
        <v>163</v>
      </c>
    </row>
    <row r="31" spans="2:25" ht="14.45" x14ac:dyDescent="0.35">
      <c r="B31" s="3" t="s">
        <v>123</v>
      </c>
      <c r="C31" s="11" t="s">
        <v>103</v>
      </c>
      <c r="D31" s="5">
        <v>0.8286</v>
      </c>
      <c r="E31" s="6">
        <v>0</v>
      </c>
      <c r="F31" s="4" t="s">
        <v>162</v>
      </c>
    </row>
    <row r="32" spans="2:25" ht="14.45" x14ac:dyDescent="0.35">
      <c r="B32" s="3" t="s">
        <v>124</v>
      </c>
      <c r="C32" s="11" t="s">
        <v>103</v>
      </c>
      <c r="D32" s="5">
        <v>0.8286</v>
      </c>
      <c r="E32" s="6">
        <v>0</v>
      </c>
      <c r="F32" s="4" t="s">
        <v>163</v>
      </c>
    </row>
    <row r="33" spans="1:12" ht="14.45" x14ac:dyDescent="0.35">
      <c r="B33" s="3" t="s">
        <v>125</v>
      </c>
      <c r="C33" s="11" t="s">
        <v>103</v>
      </c>
      <c r="D33" s="5">
        <v>0.8286</v>
      </c>
      <c r="E33" s="6">
        <v>0</v>
      </c>
      <c r="F33" s="4" t="s">
        <v>162</v>
      </c>
    </row>
    <row r="34" spans="1:12" ht="14.45" x14ac:dyDescent="0.35">
      <c r="B34" s="3" t="s">
        <v>126</v>
      </c>
      <c r="C34" s="11" t="s">
        <v>103</v>
      </c>
      <c r="D34" s="5">
        <v>0.8286</v>
      </c>
      <c r="E34" s="6">
        <v>0</v>
      </c>
      <c r="F34" s="4" t="s">
        <v>166</v>
      </c>
    </row>
    <row r="35" spans="1:12" ht="14.45" x14ac:dyDescent="0.35">
      <c r="B35" s="3" t="s">
        <v>127</v>
      </c>
      <c r="C35" s="11" t="s">
        <v>103</v>
      </c>
      <c r="D35" s="5">
        <v>0.8286</v>
      </c>
      <c r="E35" s="6">
        <v>0</v>
      </c>
      <c r="F35" s="4" t="s">
        <v>167</v>
      </c>
    </row>
    <row r="36" spans="1:12" ht="14.45" x14ac:dyDescent="0.35">
      <c r="B36" s="3" t="s">
        <v>128</v>
      </c>
      <c r="C36" s="11" t="s">
        <v>103</v>
      </c>
      <c r="D36" s="5">
        <v>0.8286</v>
      </c>
      <c r="E36" s="6">
        <v>0</v>
      </c>
      <c r="F36" s="4" t="s">
        <v>168</v>
      </c>
    </row>
    <row r="37" spans="1:12" x14ac:dyDescent="0.25">
      <c r="B37" s="3" t="s">
        <v>129</v>
      </c>
      <c r="C37" s="11" t="s">
        <v>103</v>
      </c>
      <c r="D37" s="5">
        <v>0.8286</v>
      </c>
      <c r="E37" s="6">
        <v>0</v>
      </c>
      <c r="F37" s="4" t="s">
        <v>169</v>
      </c>
    </row>
    <row r="38" spans="1:12" x14ac:dyDescent="0.25">
      <c r="B38" s="3" t="s">
        <v>130</v>
      </c>
      <c r="C38" s="11" t="s">
        <v>103</v>
      </c>
      <c r="D38" s="5">
        <v>0.8286</v>
      </c>
      <c r="E38" s="6">
        <v>0</v>
      </c>
      <c r="F38" s="4" t="s">
        <v>170</v>
      </c>
    </row>
    <row r="39" spans="1:12" x14ac:dyDescent="0.25">
      <c r="B39" s="3" t="s">
        <v>131</v>
      </c>
      <c r="C39" s="11" t="s">
        <v>103</v>
      </c>
      <c r="D39" s="5">
        <v>0.8286</v>
      </c>
      <c r="E39" s="6">
        <v>0</v>
      </c>
      <c r="F39" s="4" t="s">
        <v>171</v>
      </c>
    </row>
    <row r="40" spans="1:12" x14ac:dyDescent="0.25">
      <c r="B40" s="3" t="s">
        <v>16</v>
      </c>
      <c r="C40" s="11" t="s">
        <v>103</v>
      </c>
      <c r="D40" s="5">
        <v>0</v>
      </c>
      <c r="E40" s="6">
        <v>0</v>
      </c>
      <c r="F40" s="4" t="s">
        <v>17</v>
      </c>
      <c r="G40" s="5"/>
    </row>
    <row r="41" spans="1:12" x14ac:dyDescent="0.25">
      <c r="A41" s="20"/>
      <c r="B41" s="10" t="s">
        <v>139</v>
      </c>
      <c r="C41" s="11" t="s">
        <v>104</v>
      </c>
      <c r="D41" s="5">
        <v>0.56899999999999995</v>
      </c>
      <c r="E41" s="6">
        <v>0</v>
      </c>
      <c r="F41" s="4" t="s">
        <v>165</v>
      </c>
      <c r="I41" s="4"/>
      <c r="J41" s="5"/>
      <c r="K41" s="6"/>
      <c r="L41" s="4"/>
    </row>
    <row r="42" spans="1:12" x14ac:dyDescent="0.25">
      <c r="A42" s="20"/>
      <c r="B42" s="10" t="s">
        <v>140</v>
      </c>
      <c r="C42" s="11" t="s">
        <v>104</v>
      </c>
      <c r="D42" s="5">
        <v>0.56899999999999995</v>
      </c>
      <c r="E42" s="6">
        <v>0</v>
      </c>
      <c r="F42" s="4" t="s">
        <v>164</v>
      </c>
      <c r="H42" s="6"/>
      <c r="I42" s="4"/>
    </row>
    <row r="43" spans="1:12" x14ac:dyDescent="0.25">
      <c r="A43" s="20"/>
      <c r="B43" s="10" t="s">
        <v>141</v>
      </c>
      <c r="C43" s="11" t="s">
        <v>104</v>
      </c>
      <c r="D43" s="5">
        <v>0.5897</v>
      </c>
      <c r="E43" s="6">
        <v>0</v>
      </c>
      <c r="F43" s="4" t="s">
        <v>165</v>
      </c>
      <c r="H43" s="6"/>
      <c r="I43" s="4"/>
    </row>
    <row r="44" spans="1:12" x14ac:dyDescent="0.25">
      <c r="A44" s="20"/>
      <c r="B44" s="10" t="s">
        <v>142</v>
      </c>
      <c r="C44" s="11" t="s">
        <v>104</v>
      </c>
      <c r="D44" s="5">
        <v>0.5897</v>
      </c>
      <c r="E44" s="6">
        <v>0</v>
      </c>
      <c r="F44" s="4" t="s">
        <v>164</v>
      </c>
      <c r="H44" s="6"/>
      <c r="I44" s="4"/>
    </row>
    <row r="45" spans="1:12" x14ac:dyDescent="0.25">
      <c r="A45" s="20"/>
      <c r="B45" s="10" t="s">
        <v>143</v>
      </c>
      <c r="C45" s="11" t="s">
        <v>104</v>
      </c>
      <c r="D45" s="5">
        <v>0.37030000000000002</v>
      </c>
      <c r="E45" s="6">
        <v>0</v>
      </c>
      <c r="F45" s="4" t="s">
        <v>165</v>
      </c>
      <c r="H45" s="6"/>
      <c r="I45" s="4"/>
    </row>
    <row r="46" spans="1:12" x14ac:dyDescent="0.25">
      <c r="A46" s="20"/>
      <c r="B46" s="10" t="s">
        <v>144</v>
      </c>
      <c r="C46" s="11" t="s">
        <v>104</v>
      </c>
      <c r="D46" s="5">
        <v>0.37030000000000002</v>
      </c>
      <c r="E46" s="6">
        <v>0</v>
      </c>
      <c r="F46" s="4" t="s">
        <v>164</v>
      </c>
      <c r="H46" s="6"/>
      <c r="I46" s="4"/>
    </row>
    <row r="47" spans="1:12" x14ac:dyDescent="0.25">
      <c r="A47" s="20"/>
      <c r="B47" s="10" t="s">
        <v>145</v>
      </c>
      <c r="C47" s="11" t="s">
        <v>104</v>
      </c>
      <c r="D47" s="5">
        <v>0.53180000000000005</v>
      </c>
      <c r="E47" s="6">
        <v>0</v>
      </c>
      <c r="F47" s="4" t="s">
        <v>165</v>
      </c>
      <c r="H47" s="6"/>
      <c r="I47" s="4"/>
    </row>
    <row r="48" spans="1:12" x14ac:dyDescent="0.25">
      <c r="A48" s="20"/>
      <c r="B48" s="10" t="s">
        <v>146</v>
      </c>
      <c r="C48" s="11" t="s">
        <v>104</v>
      </c>
      <c r="D48" s="5">
        <v>0.53180000000000005</v>
      </c>
      <c r="E48" s="6">
        <v>0</v>
      </c>
      <c r="F48" s="4" t="s">
        <v>164</v>
      </c>
      <c r="H48" s="6"/>
      <c r="I48" s="4"/>
    </row>
    <row r="49" spans="1:9" x14ac:dyDescent="0.25">
      <c r="A49" s="20"/>
      <c r="B49" s="10" t="s">
        <v>147</v>
      </c>
      <c r="C49" s="11" t="s">
        <v>104</v>
      </c>
      <c r="D49" s="5">
        <v>0.53180000000000005</v>
      </c>
      <c r="E49" s="6">
        <v>0</v>
      </c>
      <c r="F49" s="4" t="s">
        <v>173</v>
      </c>
      <c r="H49" s="6"/>
      <c r="I49" s="4"/>
    </row>
    <row r="50" spans="1:9" x14ac:dyDescent="0.25">
      <c r="A50" s="20"/>
      <c r="B50" s="10" t="s">
        <v>148</v>
      </c>
      <c r="C50" s="11" t="s">
        <v>104</v>
      </c>
      <c r="D50" s="5">
        <v>0.69720000000000004</v>
      </c>
      <c r="E50" s="6">
        <v>0</v>
      </c>
      <c r="F50" s="4" t="s">
        <v>165</v>
      </c>
      <c r="H50" s="6"/>
      <c r="I50" s="4"/>
    </row>
    <row r="51" spans="1:9" x14ac:dyDescent="0.25">
      <c r="A51" s="20"/>
      <c r="B51" s="10" t="s">
        <v>149</v>
      </c>
      <c r="C51" s="11" t="s">
        <v>104</v>
      </c>
      <c r="D51" s="5">
        <v>0.69720000000000004</v>
      </c>
      <c r="E51" s="6">
        <v>0</v>
      </c>
      <c r="F51" s="4" t="s">
        <v>164</v>
      </c>
      <c r="H51" s="6"/>
      <c r="I51" s="4"/>
    </row>
    <row r="52" spans="1:9" x14ac:dyDescent="0.25">
      <c r="A52" s="20"/>
      <c r="B52" s="10" t="s">
        <v>150</v>
      </c>
      <c r="C52" s="11" t="s">
        <v>104</v>
      </c>
      <c r="D52" s="5">
        <v>0.69720000000000004</v>
      </c>
      <c r="E52" s="6">
        <v>0</v>
      </c>
      <c r="F52" s="4" t="s">
        <v>174</v>
      </c>
    </row>
    <row r="53" spans="1:9" x14ac:dyDescent="0.25">
      <c r="A53" s="20"/>
      <c r="B53" s="10" t="s">
        <v>151</v>
      </c>
      <c r="C53" s="11" t="s">
        <v>104</v>
      </c>
      <c r="D53" s="5">
        <v>0.57679999999999998</v>
      </c>
      <c r="E53" s="6">
        <v>0</v>
      </c>
      <c r="F53" s="4" t="s">
        <v>165</v>
      </c>
    </row>
    <row r="54" spans="1:9" x14ac:dyDescent="0.25">
      <c r="A54" s="20"/>
      <c r="B54" s="10" t="s">
        <v>152</v>
      </c>
      <c r="C54" s="11" t="s">
        <v>104</v>
      </c>
      <c r="D54" s="5">
        <v>0.57679999999999998</v>
      </c>
      <c r="E54" s="6">
        <v>0</v>
      </c>
      <c r="F54" s="4" t="s">
        <v>164</v>
      </c>
    </row>
    <row r="55" spans="1:9" x14ac:dyDescent="0.25">
      <c r="A55" s="20"/>
      <c r="B55" s="10" t="s">
        <v>153</v>
      </c>
      <c r="C55" s="11" t="s">
        <v>104</v>
      </c>
      <c r="D55" s="5">
        <v>0.57679999999999998</v>
      </c>
      <c r="E55" s="6">
        <v>0</v>
      </c>
      <c r="F55" s="4" t="s">
        <v>172</v>
      </c>
    </row>
    <row r="56" spans="1:9" x14ac:dyDescent="0.25">
      <c r="A56" s="20"/>
      <c r="B56" s="10" t="s">
        <v>154</v>
      </c>
      <c r="C56" s="11" t="s">
        <v>104</v>
      </c>
      <c r="D56" s="5">
        <v>0.81079999999999997</v>
      </c>
      <c r="E56" s="6">
        <v>0</v>
      </c>
      <c r="F56" s="4" t="s">
        <v>165</v>
      </c>
    </row>
    <row r="57" spans="1:9" x14ac:dyDescent="0.25">
      <c r="A57" s="20"/>
      <c r="B57" s="10" t="s">
        <v>101</v>
      </c>
      <c r="C57" s="11" t="s">
        <v>104</v>
      </c>
      <c r="D57" s="5">
        <v>0.81079999999999997</v>
      </c>
      <c r="E57" s="6">
        <v>0</v>
      </c>
      <c r="F57" s="4" t="s">
        <v>164</v>
      </c>
    </row>
    <row r="58" spans="1:9" x14ac:dyDescent="0.25">
      <c r="A58" s="20"/>
      <c r="B58" s="10" t="s">
        <v>155</v>
      </c>
      <c r="C58" s="11" t="s">
        <v>104</v>
      </c>
      <c r="D58" s="5">
        <v>0.81079999999999997</v>
      </c>
      <c r="E58" s="6">
        <v>0</v>
      </c>
      <c r="F58" s="4" t="s">
        <v>172</v>
      </c>
    </row>
    <row r="59" spans="1:9" x14ac:dyDescent="0.25">
      <c r="A59" s="20"/>
      <c r="B59" s="10" t="s">
        <v>156</v>
      </c>
      <c r="C59" s="11" t="s">
        <v>104</v>
      </c>
      <c r="D59" s="5"/>
      <c r="E59" s="6">
        <v>0</v>
      </c>
      <c r="F59" s="4" t="s">
        <v>159</v>
      </c>
    </row>
    <row r="60" spans="1:9" x14ac:dyDescent="0.25">
      <c r="A60" s="20"/>
      <c r="B60" s="10" t="s">
        <v>157</v>
      </c>
      <c r="C60" s="11" t="s">
        <v>104</v>
      </c>
      <c r="D60" s="5"/>
      <c r="E60" s="6">
        <v>0</v>
      </c>
      <c r="F60" t="s">
        <v>17</v>
      </c>
    </row>
    <row r="61" spans="1:9" x14ac:dyDescent="0.25">
      <c r="A61" s="20"/>
      <c r="B61" s="10" t="s">
        <v>158</v>
      </c>
      <c r="C61" s="11" t="s">
        <v>104</v>
      </c>
      <c r="D61" s="5"/>
      <c r="E61" s="6">
        <v>0</v>
      </c>
      <c r="F61" t="s">
        <v>17</v>
      </c>
    </row>
    <row r="63" spans="1:9" x14ac:dyDescent="0.25">
      <c r="B63" s="3" t="s">
        <v>83</v>
      </c>
      <c r="C63" s="4" t="s">
        <v>5</v>
      </c>
      <c r="D63" s="5">
        <v>0</v>
      </c>
      <c r="E63" s="6">
        <v>0</v>
      </c>
      <c r="F63" s="4" t="s">
        <v>17</v>
      </c>
    </row>
    <row r="64" spans="1:9" x14ac:dyDescent="0.25">
      <c r="B64" s="4"/>
      <c r="C64" s="5"/>
      <c r="D64" s="6"/>
      <c r="E64"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Front</vt:lpstr>
      <vt:lpstr>Water</vt:lpstr>
      <vt:lpstr>Waste</vt:lpstr>
      <vt:lpstr>METER</vt:lpstr>
      <vt:lpstr>MISC</vt:lpstr>
      <vt:lpstr>SSSCO</vt:lpstr>
      <vt:lpstr>UWPipe</vt:lpstr>
      <vt:lpstr>WSSCO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Trafford</dc:creator>
  <cp:lastModifiedBy>Abbie Johnson</cp:lastModifiedBy>
  <dcterms:created xsi:type="dcterms:W3CDTF">2017-10-16T10:35:47Z</dcterms:created>
  <dcterms:modified xsi:type="dcterms:W3CDTF">2018-03-28T10:33:34Z</dcterms:modified>
</cp:coreProperties>
</file>